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C3E0928D-6CBE-446C-A647-23E1540CEA5B}" xr6:coauthVersionLast="47" xr6:coauthVersionMax="47" xr10:uidLastSave="{00000000-0000-0000-0000-000000000000}"/>
  <bookViews>
    <workbookView xWindow="-120" yWindow="-120" windowWidth="25440" windowHeight="15390" xr2:uid="{3605247F-D6FC-4B9A-AC54-DC9EDF1441BA}"/>
  </bookViews>
  <sheets>
    <sheet name="2023 - výhled" sheetId="2" r:id="rId1"/>
    <sheet name="rozpočet 2023" sheetId="4" r:id="rId2"/>
    <sheet name="rozpočet 2023-rozbalený" sheetId="7" r:id="rId3"/>
    <sheet name="data" sheetId="3" r:id="rId4"/>
    <sheet name="paragrafy" sheetId="5" r:id="rId5"/>
    <sheet name="položky" sheetId="6" r:id="rId6"/>
    <sheet name="DV-spořka" sheetId="9" r:id="rId7"/>
    <sheet name="mzdy" sheetId="8" r:id="rId8"/>
  </sheets>
  <definedNames>
    <definedName name="_xlnm._FilterDatabase" localSheetId="5" hidden="1">položky!$A$1:$B$1182</definedName>
  </definedNames>
  <calcPr calcId="191029"/>
  <pivotCaches>
    <pivotCache cacheId="5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0" i="3" l="1"/>
  <c r="H170" i="3"/>
  <c r="I170" i="3" s="1"/>
  <c r="J170" i="3"/>
  <c r="G169" i="3"/>
  <c r="H169" i="3"/>
  <c r="I169" i="3" s="1"/>
  <c r="J169" i="3"/>
  <c r="G168" i="3"/>
  <c r="H168" i="3"/>
  <c r="I168" i="3" s="1"/>
  <c r="J168" i="3"/>
  <c r="G167" i="3"/>
  <c r="H167" i="3"/>
  <c r="I167" i="3" s="1"/>
  <c r="J167" i="3"/>
  <c r="G71" i="3"/>
  <c r="H71" i="3"/>
  <c r="I71" i="3" s="1"/>
  <c r="J71" i="3"/>
  <c r="F81" i="2"/>
  <c r="G165" i="3"/>
  <c r="H165" i="3"/>
  <c r="I165" i="3" s="1"/>
  <c r="J165" i="3"/>
  <c r="D16" i="3"/>
  <c r="F87" i="3"/>
  <c r="F88" i="3"/>
  <c r="F125" i="3"/>
  <c r="F140" i="3"/>
  <c r="F164" i="3"/>
  <c r="F126" i="3"/>
  <c r="F142" i="3"/>
  <c r="F116" i="3"/>
  <c r="F100" i="3"/>
  <c r="F99" i="3"/>
  <c r="F97" i="3"/>
  <c r="F93" i="3"/>
  <c r="F92" i="3"/>
  <c r="F91" i="3"/>
  <c r="F90" i="3"/>
  <c r="F89" i="3"/>
  <c r="D33" i="3"/>
  <c r="D67" i="3"/>
  <c r="D77" i="3"/>
  <c r="F59" i="3" l="1"/>
  <c r="D18" i="3"/>
  <c r="D17" i="3"/>
  <c r="G82" i="3"/>
  <c r="H82" i="3"/>
  <c r="I82" i="3" s="1"/>
  <c r="J82" i="3"/>
  <c r="G40" i="3"/>
  <c r="H40" i="3"/>
  <c r="I40" i="3" s="1"/>
  <c r="J40" i="3"/>
  <c r="G37" i="3"/>
  <c r="H37" i="3"/>
  <c r="I37" i="3" s="1"/>
  <c r="J37" i="3"/>
  <c r="J3" i="3" l="1"/>
  <c r="J2" i="3"/>
  <c r="J4" i="3"/>
  <c r="J5" i="3"/>
  <c r="J7" i="3"/>
  <c r="D10" i="3"/>
  <c r="J10" i="3" s="1"/>
  <c r="J11" i="3"/>
  <c r="J6" i="3"/>
  <c r="J12" i="3"/>
  <c r="J13" i="3"/>
  <c r="J41" i="3"/>
  <c r="J14" i="3"/>
  <c r="J55" i="3"/>
  <c r="J56" i="3"/>
  <c r="J57" i="3"/>
  <c r="J58" i="3"/>
  <c r="J19" i="3"/>
  <c r="J98" i="3"/>
  <c r="J21" i="3"/>
  <c r="J22" i="3"/>
  <c r="J23" i="3"/>
  <c r="J24" i="3"/>
  <c r="J25" i="3"/>
  <c r="J26" i="3"/>
  <c r="J27" i="3"/>
  <c r="J28" i="3"/>
  <c r="J30" i="3"/>
  <c r="J31" i="3"/>
  <c r="J32" i="3"/>
  <c r="J33" i="3"/>
  <c r="J20" i="3"/>
  <c r="J34" i="3"/>
  <c r="J36" i="3"/>
  <c r="J38" i="3"/>
  <c r="J39" i="3"/>
  <c r="J42" i="3"/>
  <c r="J48" i="3"/>
  <c r="J52" i="3"/>
  <c r="J53" i="3"/>
  <c r="J54" i="3"/>
  <c r="J16" i="3"/>
  <c r="J17" i="3"/>
  <c r="J18" i="3"/>
  <c r="J60" i="3"/>
  <c r="J61" i="3"/>
  <c r="J62" i="3"/>
  <c r="J63" i="3"/>
  <c r="J64" i="3"/>
  <c r="J35" i="3"/>
  <c r="J65" i="3"/>
  <c r="J66" i="3"/>
  <c r="J68" i="3"/>
  <c r="J70" i="3"/>
  <c r="J72" i="3"/>
  <c r="J73" i="3"/>
  <c r="J74" i="3"/>
  <c r="J75" i="3"/>
  <c r="J166" i="3"/>
  <c r="J67" i="3"/>
  <c r="J76" i="3"/>
  <c r="J77" i="3"/>
  <c r="J78" i="3"/>
  <c r="J79" i="3"/>
  <c r="J69" i="3"/>
  <c r="J80" i="3"/>
  <c r="J81" i="3"/>
  <c r="J86" i="3"/>
  <c r="J94" i="3"/>
  <c r="J95" i="3"/>
  <c r="J96" i="3"/>
  <c r="J101" i="3"/>
  <c r="J102" i="3"/>
  <c r="J103" i="3"/>
  <c r="J104" i="3"/>
  <c r="J106" i="3"/>
  <c r="J107" i="3"/>
  <c r="J108" i="3"/>
  <c r="J110" i="3"/>
  <c r="J111" i="3"/>
  <c r="J112" i="3"/>
  <c r="J121" i="3"/>
  <c r="J115" i="3"/>
  <c r="J120" i="3"/>
  <c r="J123" i="3"/>
  <c r="J117" i="3"/>
  <c r="J113" i="3"/>
  <c r="J118" i="3"/>
  <c r="J114" i="3"/>
  <c r="J119" i="3"/>
  <c r="J122" i="3"/>
  <c r="J127" i="3"/>
  <c r="J135" i="3"/>
  <c r="J136" i="3"/>
  <c r="J137" i="3"/>
  <c r="J138" i="3"/>
  <c r="J139" i="3"/>
  <c r="J143" i="3"/>
  <c r="J145" i="3"/>
  <c r="J146" i="3"/>
  <c r="J147" i="3"/>
  <c r="J148" i="3"/>
  <c r="J149" i="3"/>
  <c r="J151" i="3"/>
  <c r="J152" i="3"/>
  <c r="J153" i="3"/>
  <c r="J154" i="3"/>
  <c r="J156" i="3"/>
  <c r="J157" i="3"/>
  <c r="J159" i="3"/>
  <c r="J160" i="3"/>
  <c r="J161" i="3"/>
  <c r="J162" i="3"/>
  <c r="C95" i="6" l="1"/>
  <c r="H8" i="3" s="1"/>
  <c r="I8" i="3" s="1"/>
  <c r="C94" i="6"/>
  <c r="C93" i="6"/>
  <c r="D51" i="3" l="1"/>
  <c r="J51" i="3" s="1"/>
  <c r="G51" i="3"/>
  <c r="H51" i="3"/>
  <c r="I51" i="3" s="1"/>
  <c r="G160" i="3" l="1"/>
  <c r="H160" i="3"/>
  <c r="I160" i="3" s="1"/>
  <c r="D50" i="3"/>
  <c r="J50" i="3" s="1"/>
  <c r="G50" i="3"/>
  <c r="H50" i="3"/>
  <c r="I50" i="3" s="1"/>
  <c r="D43" i="3"/>
  <c r="J43" i="3" s="1"/>
  <c r="D49" i="3"/>
  <c r="J49" i="3" s="1"/>
  <c r="G49" i="3"/>
  <c r="H49" i="3"/>
  <c r="I49" i="3" s="1"/>
  <c r="D109" i="3"/>
  <c r="J109" i="3" s="1"/>
  <c r="G163" i="3"/>
  <c r="H163" i="3"/>
  <c r="I163" i="3" s="1"/>
  <c r="G43" i="3"/>
  <c r="H43" i="3"/>
  <c r="I43" i="3" s="1"/>
  <c r="D8" i="3"/>
  <c r="J8" i="3" s="1"/>
  <c r="D9" i="3"/>
  <c r="J9" i="3" s="1"/>
  <c r="D29" i="3" l="1"/>
  <c r="J29" i="3" s="1"/>
  <c r="D105" i="3"/>
  <c r="J105" i="3" s="1"/>
  <c r="D144" i="3"/>
  <c r="J144" i="3" s="1"/>
  <c r="D88" i="3"/>
  <c r="J88" i="3" s="1"/>
  <c r="D46" i="3"/>
  <c r="J46" i="3" s="1"/>
  <c r="D44" i="3"/>
  <c r="J44" i="3" s="1"/>
  <c r="G46" i="3"/>
  <c r="H46" i="3"/>
  <c r="I46" i="3" s="1"/>
  <c r="G44" i="3"/>
  <c r="H44" i="3"/>
  <c r="I44" i="3" s="1"/>
  <c r="F129" i="3" l="1"/>
  <c r="F134" i="3"/>
  <c r="F133" i="3"/>
  <c r="F130" i="3"/>
  <c r="E2" i="8"/>
  <c r="E1" i="8"/>
  <c r="E3" i="8"/>
  <c r="E4" i="8"/>
  <c r="F132" i="3"/>
  <c r="C7" i="8"/>
  <c r="D4" i="8"/>
  <c r="C2" i="8"/>
  <c r="G41" i="3"/>
  <c r="H41" i="3"/>
  <c r="I41" i="3" s="1"/>
  <c r="D150" i="3"/>
  <c r="J150" i="3" s="1"/>
  <c r="D155" i="3"/>
  <c r="J155" i="3" s="1"/>
  <c r="G95" i="3"/>
  <c r="H95" i="3"/>
  <c r="I95" i="3" s="1"/>
  <c r="G39" i="3"/>
  <c r="H39" i="3"/>
  <c r="I39" i="3" s="1"/>
  <c r="F74" i="2"/>
  <c r="F38" i="2" l="1"/>
  <c r="F80" i="2" s="1"/>
  <c r="D158" i="3"/>
  <c r="J158" i="3" s="1"/>
  <c r="D131" i="3"/>
  <c r="J131" i="3" s="1"/>
  <c r="G131" i="3"/>
  <c r="H131" i="3"/>
  <c r="I131" i="3" s="1"/>
  <c r="G127" i="3"/>
  <c r="H127" i="3"/>
  <c r="I127" i="3" s="1"/>
  <c r="G108" i="3"/>
  <c r="H108" i="3"/>
  <c r="I108" i="3" s="1"/>
  <c r="D116" i="3"/>
  <c r="J116" i="3" s="1"/>
  <c r="D100" i="3"/>
  <c r="J100" i="3" s="1"/>
  <c r="D97" i="3"/>
  <c r="J97" i="3" s="1"/>
  <c r="D99" i="3"/>
  <c r="J99" i="3" s="1"/>
  <c r="G80" i="3"/>
  <c r="H80" i="3"/>
  <c r="I80" i="3" s="1"/>
  <c r="C92" i="6"/>
  <c r="G76" i="3"/>
  <c r="H76" i="3"/>
  <c r="I76" i="3" s="1"/>
  <c r="G77" i="3"/>
  <c r="H77" i="3"/>
  <c r="I77" i="3" s="1"/>
  <c r="G73" i="3"/>
  <c r="H73" i="3"/>
  <c r="I73" i="3" s="1"/>
  <c r="G35" i="3"/>
  <c r="H35" i="3"/>
  <c r="I35" i="3" s="1"/>
  <c r="G75" i="3"/>
  <c r="H75" i="3"/>
  <c r="I75" i="3" s="1"/>
  <c r="D74" i="2"/>
  <c r="C91" i="6"/>
  <c r="G72" i="3"/>
  <c r="G78" i="3"/>
  <c r="G69" i="3"/>
  <c r="G117" i="3"/>
  <c r="G119" i="3"/>
  <c r="G123" i="3"/>
  <c r="H72" i="3"/>
  <c r="I72" i="3" s="1"/>
  <c r="H67" i="3"/>
  <c r="I67" i="3" s="1"/>
  <c r="H78" i="3"/>
  <c r="I78" i="3" s="1"/>
  <c r="H69" i="3"/>
  <c r="I69" i="3" s="1"/>
  <c r="H117" i="3"/>
  <c r="I117" i="3" s="1"/>
  <c r="H123" i="3"/>
  <c r="I123" i="3" s="1"/>
  <c r="G52" i="3"/>
  <c r="G61" i="3"/>
  <c r="G74" i="3"/>
  <c r="H34" i="3"/>
  <c r="I34" i="3" s="1"/>
  <c r="H61" i="3"/>
  <c r="I61" i="3" s="1"/>
  <c r="H66" i="3"/>
  <c r="I66" i="3" s="1"/>
  <c r="H74" i="3"/>
  <c r="I74" i="3" s="1"/>
  <c r="G107" i="3"/>
  <c r="C37" i="5"/>
  <c r="C38" i="5"/>
  <c r="C39" i="5"/>
  <c r="C40" i="5"/>
  <c r="C41" i="5"/>
  <c r="C42" i="5"/>
  <c r="C43" i="5"/>
  <c r="G81" i="3" s="1"/>
  <c r="C44" i="5"/>
  <c r="C45" i="5"/>
  <c r="G9" i="3"/>
  <c r="G13" i="3"/>
  <c r="G27" i="3"/>
  <c r="G26" i="3"/>
  <c r="G25" i="3"/>
  <c r="G24" i="3"/>
  <c r="G21" i="3"/>
  <c r="G98" i="3"/>
  <c r="G22" i="3"/>
  <c r="G23" i="3"/>
  <c r="G19" i="3"/>
  <c r="G28" i="3"/>
  <c r="G32" i="3"/>
  <c r="G33" i="3"/>
  <c r="G42" i="3"/>
  <c r="G53" i="3"/>
  <c r="G54" i="3"/>
  <c r="C3" i="5"/>
  <c r="G38" i="3" s="1"/>
  <c r="C4" i="5"/>
  <c r="C5" i="5"/>
  <c r="C6" i="5"/>
  <c r="G16" i="3" s="1"/>
  <c r="C7" i="5"/>
  <c r="G62" i="3" s="1"/>
  <c r="C8" i="5"/>
  <c r="G64" i="3" s="1"/>
  <c r="C9" i="5"/>
  <c r="C10" i="5"/>
  <c r="C11" i="5"/>
  <c r="G67" i="3" s="1"/>
  <c r="C12" i="5"/>
  <c r="C13" i="5"/>
  <c r="G88" i="3" s="1"/>
  <c r="C14" i="5"/>
  <c r="C15" i="5"/>
  <c r="C16" i="5"/>
  <c r="G58" i="3" s="1"/>
  <c r="C17" i="5"/>
  <c r="G97" i="3" s="1"/>
  <c r="C18" i="5"/>
  <c r="G102" i="3" s="1"/>
  <c r="C19" i="5"/>
  <c r="C20" i="5"/>
  <c r="G104" i="3" s="1"/>
  <c r="C21" i="5"/>
  <c r="G105" i="3" s="1"/>
  <c r="C22" i="5"/>
  <c r="C23" i="5"/>
  <c r="G29" i="3" s="1"/>
  <c r="C24" i="5"/>
  <c r="G136" i="3" s="1"/>
  <c r="C25" i="5"/>
  <c r="C26" i="5"/>
  <c r="C27" i="5"/>
  <c r="C28" i="5"/>
  <c r="G115" i="3" s="1"/>
  <c r="C29" i="5"/>
  <c r="G129" i="3" s="1"/>
  <c r="C30" i="5"/>
  <c r="C31" i="5"/>
  <c r="G155" i="3" s="1"/>
  <c r="C32" i="5"/>
  <c r="G159" i="3" s="1"/>
  <c r="C33" i="5"/>
  <c r="C34" i="5"/>
  <c r="C35" i="5"/>
  <c r="G161" i="3" s="1"/>
  <c r="C36" i="5"/>
  <c r="G162" i="3" s="1"/>
  <c r="C2" i="5"/>
  <c r="G2" i="3" s="1"/>
  <c r="C89" i="6"/>
  <c r="H63" i="3" s="1"/>
  <c r="I63" i="3" s="1"/>
  <c r="C90" i="6"/>
  <c r="H146" i="3" s="1"/>
  <c r="I146" i="3" s="1"/>
  <c r="C88" i="6"/>
  <c r="H42" i="3" s="1"/>
  <c r="I42" i="3" s="1"/>
  <c r="C87" i="6"/>
  <c r="C86" i="6"/>
  <c r="C3" i="6"/>
  <c r="H3" i="3" s="1"/>
  <c r="I3" i="3" s="1"/>
  <c r="C4" i="6"/>
  <c r="C5" i="6"/>
  <c r="H5" i="3" s="1"/>
  <c r="I5" i="3" s="1"/>
  <c r="C6" i="6"/>
  <c r="C7" i="6"/>
  <c r="H7" i="3" s="1"/>
  <c r="I7" i="3" s="1"/>
  <c r="C8" i="6"/>
  <c r="C9" i="6"/>
  <c r="C10" i="6"/>
  <c r="H9" i="3" s="1"/>
  <c r="I9" i="3" s="1"/>
  <c r="C11" i="6"/>
  <c r="C12" i="6"/>
  <c r="C13" i="6"/>
  <c r="C14" i="6"/>
  <c r="C15" i="6"/>
  <c r="C16" i="6"/>
  <c r="C17" i="6"/>
  <c r="H26" i="3" s="1"/>
  <c r="I26" i="3" s="1"/>
  <c r="C18" i="6"/>
  <c r="H58" i="3" s="1"/>
  <c r="I58" i="3" s="1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H83" i="3" s="1"/>
  <c r="I83" i="3" s="1"/>
  <c r="C35" i="6"/>
  <c r="C36" i="6"/>
  <c r="C37" i="6"/>
  <c r="C38" i="6"/>
  <c r="C39" i="6"/>
  <c r="C40" i="6"/>
  <c r="C41" i="6"/>
  <c r="C42" i="6"/>
  <c r="C43" i="6"/>
  <c r="C44" i="6"/>
  <c r="C45" i="6"/>
  <c r="H137" i="3" s="1"/>
  <c r="I137" i="3" s="1"/>
  <c r="C46" i="6"/>
  <c r="C47" i="6"/>
  <c r="H70" i="3" s="1"/>
  <c r="I70" i="3" s="1"/>
  <c r="C48" i="6"/>
  <c r="C49" i="6"/>
  <c r="H88" i="3" s="1"/>
  <c r="I88" i="3" s="1"/>
  <c r="C50" i="6"/>
  <c r="H124" i="3" s="1"/>
  <c r="I124" i="3" s="1"/>
  <c r="C51" i="6"/>
  <c r="H92" i="3" s="1"/>
  <c r="I92" i="3" s="1"/>
  <c r="C52" i="6"/>
  <c r="H115" i="3" s="1"/>
  <c r="I115" i="3" s="1"/>
  <c r="C53" i="6"/>
  <c r="H143" i="3" s="1"/>
  <c r="I143" i="3" s="1"/>
  <c r="C54" i="6"/>
  <c r="C55" i="6"/>
  <c r="C56" i="6"/>
  <c r="C57" i="6"/>
  <c r="H62" i="3" s="1"/>
  <c r="I62" i="3" s="1"/>
  <c r="C58" i="6"/>
  <c r="H111" i="3" s="1"/>
  <c r="I111" i="3" s="1"/>
  <c r="C59" i="6"/>
  <c r="H20" i="3" s="1"/>
  <c r="I20" i="3" s="1"/>
  <c r="C60" i="6"/>
  <c r="C61" i="6"/>
  <c r="H152" i="3" s="1"/>
  <c r="I152" i="3" s="1"/>
  <c r="C62" i="6"/>
  <c r="C63" i="6"/>
  <c r="C64" i="6"/>
  <c r="C65" i="6"/>
  <c r="C66" i="6"/>
  <c r="H17" i="3" s="1"/>
  <c r="I17" i="3" s="1"/>
  <c r="C67" i="6"/>
  <c r="C68" i="6"/>
  <c r="C69" i="6"/>
  <c r="C70" i="6"/>
  <c r="C71" i="6"/>
  <c r="C72" i="6"/>
  <c r="H156" i="3" s="1"/>
  <c r="I156" i="3" s="1"/>
  <c r="C73" i="6"/>
  <c r="H18" i="3" s="1"/>
  <c r="I18" i="3" s="1"/>
  <c r="C74" i="6"/>
  <c r="C75" i="6"/>
  <c r="C76" i="6"/>
  <c r="C77" i="6"/>
  <c r="H162" i="3" s="1"/>
  <c r="I162" i="3" s="1"/>
  <c r="C78" i="6"/>
  <c r="C79" i="6"/>
  <c r="C80" i="6"/>
  <c r="H166" i="3" s="1"/>
  <c r="I166" i="3" s="1"/>
  <c r="C81" i="6"/>
  <c r="C82" i="6"/>
  <c r="C83" i="6"/>
  <c r="C84" i="6"/>
  <c r="H96" i="3" s="1"/>
  <c r="I96" i="3" s="1"/>
  <c r="C85" i="6"/>
  <c r="C2" i="6"/>
  <c r="H2" i="3"/>
  <c r="I2" i="3" s="1"/>
  <c r="H4" i="3"/>
  <c r="I4" i="3" s="1"/>
  <c r="H6" i="3"/>
  <c r="I6" i="3" s="1"/>
  <c r="H10" i="3"/>
  <c r="I10" i="3" s="1"/>
  <c r="H11" i="3"/>
  <c r="I11" i="3" s="1"/>
  <c r="H12" i="3"/>
  <c r="I12" i="3" s="1"/>
  <c r="H45" i="3"/>
  <c r="I45" i="3" s="1"/>
  <c r="H89" i="3"/>
  <c r="I89" i="3" s="1"/>
  <c r="H93" i="3"/>
  <c r="I93" i="3" s="1"/>
  <c r="H97" i="3"/>
  <c r="I97" i="3" s="1"/>
  <c r="H100" i="3"/>
  <c r="I100" i="3" s="1"/>
  <c r="H128" i="3"/>
  <c r="I128" i="3" s="1"/>
  <c r="H164" i="3"/>
  <c r="I164" i="3" s="1"/>
  <c r="H14" i="3"/>
  <c r="I14" i="3" s="1"/>
  <c r="H55" i="3"/>
  <c r="I55" i="3" s="1"/>
  <c r="H23" i="3"/>
  <c r="I23" i="3" s="1"/>
  <c r="H29" i="3"/>
  <c r="I29" i="3" s="1"/>
  <c r="H31" i="3"/>
  <c r="I31" i="3" s="1"/>
  <c r="H54" i="3"/>
  <c r="I54" i="3" s="1"/>
  <c r="H161" i="3"/>
  <c r="I161" i="3" s="1"/>
  <c r="H159" i="3"/>
  <c r="I159" i="3" s="1"/>
  <c r="H85" i="3"/>
  <c r="I85" i="3" s="1"/>
  <c r="H86" i="3"/>
  <c r="I86" i="3" s="1"/>
  <c r="H101" i="3"/>
  <c r="I101" i="3" s="1"/>
  <c r="H103" i="3"/>
  <c r="I103" i="3" s="1"/>
  <c r="H136" i="3"/>
  <c r="I136" i="3" s="1"/>
  <c r="H109" i="3"/>
  <c r="I109" i="3" s="1"/>
  <c r="H110" i="3"/>
  <c r="I110" i="3" s="1"/>
  <c r="H112" i="3"/>
  <c r="I112" i="3" s="1"/>
  <c r="H157" i="3"/>
  <c r="I157" i="3" s="1"/>
  <c r="H155" i="3"/>
  <c r="I155" i="3" s="1"/>
  <c r="H154" i="3"/>
  <c r="I154" i="3" s="1"/>
  <c r="H153" i="3"/>
  <c r="I153" i="3" s="1"/>
  <c r="H151" i="3"/>
  <c r="I151" i="3" s="1"/>
  <c r="H147" i="3"/>
  <c r="I147" i="3" s="1"/>
  <c r="H145" i="3"/>
  <c r="I145" i="3" s="1"/>
  <c r="H144" i="3"/>
  <c r="I144" i="3" s="1"/>
  <c r="H139" i="3"/>
  <c r="I139" i="3" s="1"/>
  <c r="H138" i="3"/>
  <c r="I138" i="3" s="1"/>
  <c r="H130" i="3"/>
  <c r="I130" i="3" s="1"/>
  <c r="H133" i="3"/>
  <c r="I133" i="3" s="1"/>
  <c r="H135" i="3"/>
  <c r="I135" i="3" s="1"/>
  <c r="D132" i="3"/>
  <c r="J132" i="3" s="1"/>
  <c r="D85" i="3"/>
  <c r="J85" i="3" s="1"/>
  <c r="D83" i="3"/>
  <c r="J83" i="3" s="1"/>
  <c r="D84" i="3"/>
  <c r="J84" i="3" s="1"/>
  <c r="D59" i="3"/>
  <c r="J59" i="3" s="1"/>
  <c r="D47" i="3"/>
  <c r="J47" i="3" s="1"/>
  <c r="D45" i="3"/>
  <c r="J45" i="3" s="1"/>
  <c r="D15" i="3"/>
  <c r="J15" i="3" s="1"/>
  <c r="D87" i="3"/>
  <c r="J87" i="3" s="1"/>
  <c r="D89" i="3"/>
  <c r="J89" i="3" s="1"/>
  <c r="D90" i="3"/>
  <c r="J90" i="3" s="1"/>
  <c r="D92" i="3"/>
  <c r="J92" i="3" s="1"/>
  <c r="D91" i="3"/>
  <c r="J91" i="3" s="1"/>
  <c r="D93" i="3"/>
  <c r="J93" i="3" s="1"/>
  <c r="D125" i="3"/>
  <c r="J125" i="3" s="1"/>
  <c r="D124" i="3"/>
  <c r="J124" i="3" s="1"/>
  <c r="D142" i="3"/>
  <c r="J142" i="3" s="1"/>
  <c r="D126" i="3"/>
  <c r="J126" i="3" s="1"/>
  <c r="D140" i="3"/>
  <c r="J140" i="3" s="1"/>
  <c r="D141" i="3"/>
  <c r="J141" i="3" s="1"/>
  <c r="D164" i="3"/>
  <c r="J164" i="3" s="1"/>
  <c r="J128" i="3"/>
  <c r="C38" i="2"/>
  <c r="E81" i="2"/>
  <c r="E80" i="2"/>
  <c r="D134" i="3" l="1"/>
  <c r="J134" i="3" s="1"/>
  <c r="H27" i="3"/>
  <c r="I27" i="3" s="1"/>
  <c r="H134" i="3"/>
  <c r="I134" i="3" s="1"/>
  <c r="H125" i="3"/>
  <c r="I125" i="3" s="1"/>
  <c r="H90" i="3"/>
  <c r="I90" i="3" s="1"/>
  <c r="H68" i="3"/>
  <c r="I68" i="3" s="1"/>
  <c r="H52" i="3"/>
  <c r="I52" i="3" s="1"/>
  <c r="G68" i="3"/>
  <c r="H79" i="3"/>
  <c r="I79" i="3" s="1"/>
  <c r="G122" i="3"/>
  <c r="G113" i="3"/>
  <c r="G96" i="3"/>
  <c r="G149" i="3"/>
  <c r="G20" i="3"/>
  <c r="G66" i="3"/>
  <c r="G34" i="3"/>
  <c r="H119" i="3"/>
  <c r="I119" i="3" s="1"/>
  <c r="H102" i="3"/>
  <c r="I102" i="3" s="1"/>
  <c r="H30" i="3"/>
  <c r="I30" i="3" s="1"/>
  <c r="H13" i="3"/>
  <c r="I13" i="3" s="1"/>
  <c r="H99" i="3"/>
  <c r="I99" i="3" s="1"/>
  <c r="H65" i="3"/>
  <c r="I65" i="3" s="1"/>
  <c r="H36" i="3"/>
  <c r="I36" i="3" s="1"/>
  <c r="G65" i="3"/>
  <c r="G36" i="3"/>
  <c r="H120" i="3"/>
  <c r="I120" i="3" s="1"/>
  <c r="G121" i="3"/>
  <c r="G118" i="3"/>
  <c r="H60" i="3"/>
  <c r="I60" i="3" s="1"/>
  <c r="G60" i="3"/>
  <c r="H64" i="3"/>
  <c r="I64" i="3" s="1"/>
  <c r="G114" i="3"/>
  <c r="H148" i="3"/>
  <c r="I148" i="3" s="1"/>
  <c r="H158" i="3"/>
  <c r="I158" i="3" s="1"/>
  <c r="H16" i="3"/>
  <c r="I16" i="3" s="1"/>
  <c r="H19" i="3"/>
  <c r="I19" i="3" s="1"/>
  <c r="H129" i="3"/>
  <c r="I129" i="3" s="1"/>
  <c r="H116" i="3"/>
  <c r="I116" i="3" s="1"/>
  <c r="H47" i="3"/>
  <c r="I47" i="3" s="1"/>
  <c r="G151" i="3"/>
  <c r="H107" i="3"/>
  <c r="I107" i="3" s="1"/>
  <c r="H38" i="3"/>
  <c r="I38" i="3" s="1"/>
  <c r="G63" i="3"/>
  <c r="H122" i="3"/>
  <c r="I122" i="3" s="1"/>
  <c r="H113" i="3"/>
  <c r="I113" i="3" s="1"/>
  <c r="G79" i="3"/>
  <c r="G166" i="3"/>
  <c r="H121" i="3"/>
  <c r="I121" i="3" s="1"/>
  <c r="H118" i="3"/>
  <c r="I118" i="3" s="1"/>
  <c r="H81" i="3"/>
  <c r="I81" i="3" s="1"/>
  <c r="G120" i="3"/>
  <c r="H53" i="3"/>
  <c r="I53" i="3" s="1"/>
  <c r="H126" i="3"/>
  <c r="I126" i="3" s="1"/>
  <c r="H91" i="3"/>
  <c r="I91" i="3" s="1"/>
  <c r="H142" i="3"/>
  <c r="I142" i="3" s="1"/>
  <c r="G70" i="3"/>
  <c r="H114" i="3"/>
  <c r="I114" i="3" s="1"/>
  <c r="H149" i="3"/>
  <c r="I149" i="3" s="1"/>
  <c r="D130" i="3"/>
  <c r="J130" i="3" s="1"/>
  <c r="G14" i="3"/>
  <c r="G152" i="3"/>
  <c r="G8" i="3"/>
  <c r="G135" i="3"/>
  <c r="G153" i="3"/>
  <c r="G7" i="3"/>
  <c r="G154" i="3"/>
  <c r="G6" i="3"/>
  <c r="G138" i="3"/>
  <c r="G12" i="3"/>
  <c r="G5" i="3"/>
  <c r="G139" i="3"/>
  <c r="G4" i="3"/>
  <c r="G147" i="3"/>
  <c r="G11" i="3"/>
  <c r="G3" i="3"/>
  <c r="G150" i="3"/>
  <c r="G10" i="3"/>
  <c r="G156" i="3"/>
  <c r="G106" i="3"/>
  <c r="G31" i="3"/>
  <c r="G55" i="3"/>
  <c r="G128" i="3"/>
  <c r="G116" i="3"/>
  <c r="G15" i="3"/>
  <c r="G134" i="3"/>
  <c r="G130" i="3"/>
  <c r="G137" i="3"/>
  <c r="G148" i="3"/>
  <c r="G157" i="3"/>
  <c r="G94" i="3"/>
  <c r="G59" i="3"/>
  <c r="G48" i="3"/>
  <c r="G30" i="3"/>
  <c r="G126" i="3"/>
  <c r="G93" i="3"/>
  <c r="G158" i="3"/>
  <c r="G112" i="3"/>
  <c r="G86" i="3"/>
  <c r="G18" i="3"/>
  <c r="G142" i="3"/>
  <c r="G91" i="3"/>
  <c r="G45" i="3"/>
  <c r="G111" i="3"/>
  <c r="G103" i="3"/>
  <c r="G83" i="3"/>
  <c r="G17" i="3"/>
  <c r="G124" i="3"/>
  <c r="G92" i="3"/>
  <c r="G47" i="3"/>
  <c r="G110" i="3"/>
  <c r="G85" i="3"/>
  <c r="G164" i="3"/>
  <c r="G125" i="3"/>
  <c r="G90" i="3"/>
  <c r="G109" i="3"/>
  <c r="G101" i="3"/>
  <c r="G84" i="3"/>
  <c r="G57" i="3"/>
  <c r="G141" i="3"/>
  <c r="G100" i="3"/>
  <c r="G89" i="3"/>
  <c r="G56" i="3"/>
  <c r="G140" i="3"/>
  <c r="G99" i="3"/>
  <c r="G87" i="3"/>
  <c r="G143" i="3"/>
  <c r="G144" i="3"/>
  <c r="G133" i="3"/>
  <c r="G145" i="3"/>
  <c r="G132" i="3"/>
  <c r="G146" i="3"/>
  <c r="H57" i="3"/>
  <c r="I57" i="3" s="1"/>
  <c r="H141" i="3"/>
  <c r="I141" i="3" s="1"/>
  <c r="H33" i="3"/>
  <c r="I33" i="3" s="1"/>
  <c r="H22" i="3"/>
  <c r="I22" i="3" s="1"/>
  <c r="H56" i="3"/>
  <c r="I56" i="3" s="1"/>
  <c r="H140" i="3"/>
  <c r="I140" i="3" s="1"/>
  <c r="H87" i="3"/>
  <c r="I87" i="3" s="1"/>
  <c r="H32" i="3"/>
  <c r="I32" i="3" s="1"/>
  <c r="H98" i="3"/>
  <c r="I98" i="3" s="1"/>
  <c r="H84" i="3"/>
  <c r="I84" i="3" s="1"/>
  <c r="H132" i="3"/>
  <c r="I132" i="3" s="1"/>
  <c r="H106" i="3"/>
  <c r="I106" i="3" s="1"/>
  <c r="H21" i="3"/>
  <c r="I21" i="3" s="1"/>
  <c r="H15" i="3"/>
  <c r="I15" i="3" s="1"/>
  <c r="H105" i="3"/>
  <c r="I105" i="3" s="1"/>
  <c r="H94" i="3"/>
  <c r="I94" i="3" s="1"/>
  <c r="H59" i="3"/>
  <c r="I59" i="3" s="1"/>
  <c r="H48" i="3"/>
  <c r="I48" i="3" s="1"/>
  <c r="H24" i="3"/>
  <c r="I24" i="3" s="1"/>
  <c r="H150" i="3"/>
  <c r="I150" i="3" s="1"/>
  <c r="H25" i="3"/>
  <c r="I25" i="3" s="1"/>
  <c r="H104" i="3"/>
  <c r="I104" i="3" s="1"/>
  <c r="H28" i="3"/>
  <c r="I28" i="3" s="1"/>
  <c r="C74" i="2"/>
  <c r="D38" i="2"/>
  <c r="F82" i="2"/>
  <c r="D133" i="3" l="1"/>
  <c r="J133" i="3" s="1"/>
  <c r="J129" i="3"/>
</calcChain>
</file>

<file path=xl/sharedStrings.xml><?xml version="1.0" encoding="utf-8"?>
<sst xmlns="http://schemas.openxmlformats.org/spreadsheetml/2006/main" count="861" uniqueCount="533">
  <si>
    <t>PŘÍJMY</t>
  </si>
  <si>
    <t>Položky</t>
  </si>
  <si>
    <t>Daňové příjmy tř. 1</t>
  </si>
  <si>
    <t>pol.</t>
  </si>
  <si>
    <t>Daň z příjmů FO záv.čin.</t>
  </si>
  <si>
    <t>Daň z  příjmu FO-poplatník</t>
  </si>
  <si>
    <t>Daň z příjmů FO z kap. výnosů</t>
  </si>
  <si>
    <t>Daň z příjmů právnických osob</t>
  </si>
  <si>
    <t>Daň z příjmů právnických osob - za obce</t>
  </si>
  <si>
    <t>Daň z přidané hodnoty</t>
  </si>
  <si>
    <t>Daň z nemovitosti</t>
  </si>
  <si>
    <t>Poplatek za likvidaci kom.odpadu</t>
  </si>
  <si>
    <t>Poplatek ze psů</t>
  </si>
  <si>
    <t>Správní poplatky</t>
  </si>
  <si>
    <t>Nedaňové příjmy tř.2</t>
  </si>
  <si>
    <t>§</t>
  </si>
  <si>
    <t>Podpora ost. produkčních čin. - lesní hospodářství</t>
  </si>
  <si>
    <t>Základní školy</t>
  </si>
  <si>
    <t>Ostatní zájmová činnost a rekreace</t>
  </si>
  <si>
    <t>Nebytové hospodářství</t>
  </si>
  <si>
    <t>Komunální služby a územní rozvoj j.n.</t>
  </si>
  <si>
    <t>Sběr a svoz komunálních odpadů</t>
  </si>
  <si>
    <t xml:space="preserve">Využívání a zneškodňování komunál. odpadů </t>
  </si>
  <si>
    <t>Činnost místní správy</t>
  </si>
  <si>
    <t>Obecné příjmy a výdaje z fin.operací</t>
  </si>
  <si>
    <t>Přijaté dotace tř. 4</t>
  </si>
  <si>
    <t>NI př.transf.ze SR v rámci souhr.dotač.vztahu</t>
  </si>
  <si>
    <t>PŘÍJMY CELKEM</t>
  </si>
  <si>
    <t>VÝDAJE</t>
  </si>
  <si>
    <t xml:space="preserve">Pěstební činnost </t>
  </si>
  <si>
    <t>Silnice</t>
  </si>
  <si>
    <t>Ostatní záležitosti pozemních komunikací</t>
  </si>
  <si>
    <t>Dopravní obslužnost veř.službami</t>
  </si>
  <si>
    <t>Odvádění a čištění odpadních vod a nakládání s kaly</t>
  </si>
  <si>
    <t xml:space="preserve">Úpravy drobných vodních toků </t>
  </si>
  <si>
    <t xml:space="preserve">Vodní díla v zemědělské krajině </t>
  </si>
  <si>
    <t>Základní škola</t>
  </si>
  <si>
    <t>Neinvestiční příspěvky zřízeným PO</t>
  </si>
  <si>
    <t xml:space="preserve">Činnosti knihovnické </t>
  </si>
  <si>
    <t xml:space="preserve">Ostatní záležitosti kultury </t>
  </si>
  <si>
    <t xml:space="preserve">Zachování a obnova památek </t>
  </si>
  <si>
    <t>Pořízení, zachování a obnova hodnot místního kulturního, …</t>
  </si>
  <si>
    <t xml:space="preserve">Zálež.kultury, církví a sděl. prostř.   </t>
  </si>
  <si>
    <t xml:space="preserve">Tělovýchovná činnost </t>
  </si>
  <si>
    <t>Využití volného času dětí a mládeže</t>
  </si>
  <si>
    <t xml:space="preserve">Nebytové hospodářství </t>
  </si>
  <si>
    <t xml:space="preserve">Veřejné osvětlení  </t>
  </si>
  <si>
    <t xml:space="preserve">Pohřebnictví </t>
  </si>
  <si>
    <t xml:space="preserve">Svoz nebezpečného odpadu </t>
  </si>
  <si>
    <t xml:space="preserve">Svoz komunálního odpadu </t>
  </si>
  <si>
    <t xml:space="preserve">Péče o vzhled obce </t>
  </si>
  <si>
    <t>Krizová řízení</t>
  </si>
  <si>
    <t xml:space="preserve">Požární ochrana </t>
  </si>
  <si>
    <t xml:space="preserve">Zatupitelstva obcí </t>
  </si>
  <si>
    <t xml:space="preserve">Činnost místní správy </t>
  </si>
  <si>
    <t>Ostatní finanční operace</t>
  </si>
  <si>
    <t>Finanční vypořádání minulých let</t>
  </si>
  <si>
    <t>Výdaje CELKEM</t>
  </si>
  <si>
    <t>rozdíl příjmů a výdajů</t>
  </si>
  <si>
    <t>Sejmuto:</t>
  </si>
  <si>
    <t>Rozpočet 2022</t>
  </si>
  <si>
    <t>Daň z hazardních her s výjimkou dílčí daně z technických her</t>
  </si>
  <si>
    <t>Odvody za odnětí půdy ze zemědělského půdního fondu</t>
  </si>
  <si>
    <t>Neinvestiční přijaté transfery z všeobecné pokladní správy státního rozpočtu</t>
  </si>
  <si>
    <t>Pohřebnictví</t>
  </si>
  <si>
    <t>Ost. záležitosti kultury</t>
  </si>
  <si>
    <t>Činnosti knihovnické</t>
  </si>
  <si>
    <t>Odvád. a čišt.odp.vod a nakládání s kaly</t>
  </si>
  <si>
    <t>Ostatní investiční přijaté transfery ze státního rozpočtu</t>
  </si>
  <si>
    <t>typ</t>
  </si>
  <si>
    <t>paragraf</t>
  </si>
  <si>
    <t>položka</t>
  </si>
  <si>
    <t>text</t>
  </si>
  <si>
    <t>záloha Homyle EE - VO</t>
  </si>
  <si>
    <t>zálohy Zvíkov EE - VO</t>
  </si>
  <si>
    <t>zálohy Zvíkov EE - SDH</t>
  </si>
  <si>
    <t>zálohy Zvíkov EE - obecní domek</t>
  </si>
  <si>
    <t>zálohy Trnava EE - čekárna</t>
  </si>
  <si>
    <t>zálohy Trnava EE - VO</t>
  </si>
  <si>
    <t>zálohy Trnava EE - kulturní zařízení</t>
  </si>
  <si>
    <t>zálohy Boharyně EE - Oú</t>
  </si>
  <si>
    <t>zálohy Boharyně EE - mlýn</t>
  </si>
  <si>
    <t>zálohy Boharyně EE - SDH</t>
  </si>
  <si>
    <t>zálohy Boharyně EE - VO</t>
  </si>
  <si>
    <t>záloha čov p.č. 466</t>
  </si>
  <si>
    <t>záloha EE čov p.č. 69</t>
  </si>
  <si>
    <t>záloha EE - stánek</t>
  </si>
  <si>
    <t>pomocné</t>
  </si>
  <si>
    <t>Popisky řádků</t>
  </si>
  <si>
    <t>Celkový součet</t>
  </si>
  <si>
    <t>rozpočet</t>
  </si>
  <si>
    <t>Mzdy Zastupitelstvo 2022</t>
  </si>
  <si>
    <t>Mzdy Zastupitelstvo 2022 Zdr.poj</t>
  </si>
  <si>
    <t>záloha plyn - Oú</t>
  </si>
  <si>
    <t>záloha plyn - ZŠ</t>
  </si>
  <si>
    <t>záloha plyn SDH</t>
  </si>
  <si>
    <t>záloha voda SDH</t>
  </si>
  <si>
    <t>záloha voda Oú</t>
  </si>
  <si>
    <t>záloha voda Boharyně 26</t>
  </si>
  <si>
    <t>zde potřebuji znát počet obyvatel * 600</t>
  </si>
  <si>
    <t>zde potřebuji znát počet psů * 100</t>
  </si>
  <si>
    <t>pronájem Hruška</t>
  </si>
  <si>
    <t>pronájem hospoda Kolář</t>
  </si>
  <si>
    <t>pronájem prodejny Trnava</t>
  </si>
  <si>
    <t>pronájem pozemků Štancl</t>
  </si>
  <si>
    <t>Pronájem pozemků Bažantová.</t>
  </si>
  <si>
    <t>Pachtovné za vod. plochu v trnavě MS Bys</t>
  </si>
  <si>
    <t>Nájemné za společenské zařízení na hřišt</t>
  </si>
  <si>
    <t>Pronájem pozemků agropodnik Humburky</t>
  </si>
  <si>
    <t>nájemné honejbní spolek Kosičky</t>
  </si>
  <si>
    <t>Pachtovné vodní nádrž v Boharyni</t>
  </si>
  <si>
    <t>Pachtovné rybník Zvíkov</t>
  </si>
  <si>
    <t>Pachtovné za rybník  Trnavě</t>
  </si>
  <si>
    <t>pachotvné ZS Kratonohy na rok</t>
  </si>
  <si>
    <t>Ekokom</t>
  </si>
  <si>
    <t>Mzda Knihovnice</t>
  </si>
  <si>
    <t>rozpočet hodnoty</t>
  </si>
  <si>
    <t>Součet z rozpočet hodnoty</t>
  </si>
  <si>
    <t>Mzda Samková</t>
  </si>
  <si>
    <t>Mzda Vítková</t>
  </si>
  <si>
    <t>Mzda Brettová</t>
  </si>
  <si>
    <t>O2 + VT telefon</t>
  </si>
  <si>
    <t>mzda V.T. počítám 13x platů</t>
  </si>
  <si>
    <t>sociální V.T. 24,8%</t>
  </si>
  <si>
    <t>par+název.par</t>
  </si>
  <si>
    <t>par+položka+název.položky</t>
  </si>
  <si>
    <t>položka+název.položky</t>
  </si>
  <si>
    <t xml:space="preserve">Text
</t>
  </si>
  <si>
    <t xml:space="preserve">Daň z příjmů fyzických osob placená plátci
</t>
  </si>
  <si>
    <t xml:space="preserve">Daň z příjmů fyzických osob placená poplatníky
</t>
  </si>
  <si>
    <t xml:space="preserve">Daň z příjmů fyzických osob vybíraná srážkou
</t>
  </si>
  <si>
    <t xml:space="preserve">Daň z příjmů právnických osob
</t>
  </si>
  <si>
    <t xml:space="preserve">Daň z příjmů právnických osob za obce
</t>
  </si>
  <si>
    <t xml:space="preserve">Daň z přidané hodnoty
</t>
  </si>
  <si>
    <t xml:space="preserve">Odvody za odnětí půdy ze zemědělského půdního fond
</t>
  </si>
  <si>
    <t xml:space="preserve">Poplatek za komunální odpad
</t>
  </si>
  <si>
    <t xml:space="preserve">Poplatek ze psů
</t>
  </si>
  <si>
    <t xml:space="preserve">Poplatek za užívání veřejného prostranství
</t>
  </si>
  <si>
    <t xml:space="preserve">Správní poplatky
</t>
  </si>
  <si>
    <t xml:space="preserve">Daň z hazardních her s výj. dílčí daně z tech. her
</t>
  </si>
  <si>
    <t xml:space="preserve">Daň z nemovitých věcí
</t>
  </si>
  <si>
    <t xml:space="preserve">Neinvestiční přijaté transf.z všeob.pokl.správy SR
</t>
  </si>
  <si>
    <t xml:space="preserve">Neinv.př.transfery ze SR v rámci souhr.dot.vztahu
</t>
  </si>
  <si>
    <t xml:space="preserve">Ostatní neinv.přijaté transfery ze st. rozpočtu
</t>
  </si>
  <si>
    <t xml:space="preserve">Neinvestiční přijaté transfery od krajů
</t>
  </si>
  <si>
    <t xml:space="preserve">Investiční přijaté transfery ze státních fondů
</t>
  </si>
  <si>
    <t xml:space="preserve">Ostatní invest.přijaté transf.ze státního rozpočtu
</t>
  </si>
  <si>
    <t xml:space="preserve">Investiční přijaté transfery od krajů
</t>
  </si>
  <si>
    <t xml:space="preserve">Příjmy z poskytování služeb a výrobků
</t>
  </si>
  <si>
    <t xml:space="preserve">Ostatní přijaté vratky transferů a podobné příjmy
</t>
  </si>
  <si>
    <t xml:space="preserve">Přijmy z pronájmu ost. nem. věcí a jejich částí
</t>
  </si>
  <si>
    <t xml:space="preserve">Přijaté nekapitálové příspěvky a náhrady
</t>
  </si>
  <si>
    <t xml:space="preserve">Ostatní příjmy z vlastní činnosti
</t>
  </si>
  <si>
    <t xml:space="preserve">Příjmy z pronájmu pozemků
</t>
  </si>
  <si>
    <t xml:space="preserve">Přijaté pojistné náhrady
</t>
  </si>
  <si>
    <t xml:space="preserve">Příjmy z úroků (část)
</t>
  </si>
  <si>
    <t xml:space="preserve">Příjmy z podílů na zisku a dividend
</t>
  </si>
  <si>
    <t xml:space="preserve">Převody z rozpočtových účtů
</t>
  </si>
  <si>
    <t xml:space="preserve">Nákup ostatních služeb
</t>
  </si>
  <si>
    <t xml:space="preserve">Opravy a udržování
</t>
  </si>
  <si>
    <t xml:space="preserve">Budovy, haly a stavby
</t>
  </si>
  <si>
    <t xml:space="preserve">Platy zaměst. v pr.poměru vyjma zaměst. na služ.m.
</t>
  </si>
  <si>
    <t xml:space="preserve">Ostatní osobní výdaje
</t>
  </si>
  <si>
    <t xml:space="preserve">Povinné poj.na soc.zab.a přísp.na st.pol.zaměstnan
</t>
  </si>
  <si>
    <t xml:space="preserve">Povinné poj.na veřejné zdravotní pojištění
</t>
  </si>
  <si>
    <t xml:space="preserve">Ochranné pomůcky
</t>
  </si>
  <si>
    <t xml:space="preserve">Nákup materiálu j.n.
</t>
  </si>
  <si>
    <t xml:space="preserve">Úroky vlastní
</t>
  </si>
  <si>
    <t xml:space="preserve">Studená voda
</t>
  </si>
  <si>
    <t xml:space="preserve">Elektrická energie
</t>
  </si>
  <si>
    <t xml:space="preserve">Poštovní služby
</t>
  </si>
  <si>
    <t xml:space="preserve">Služby elektronických komunikací
</t>
  </si>
  <si>
    <t xml:space="preserve">Jistoty
</t>
  </si>
  <si>
    <t xml:space="preserve">Platby daní a poplatků státnímu rozpočtu
</t>
  </si>
  <si>
    <t xml:space="preserve">Neinvestiční příspěvky zřízeným příspěvkovým organ
</t>
  </si>
  <si>
    <t xml:space="preserve">Neinvest.transfery zřízeným příspěvkovým organizac
</t>
  </si>
  <si>
    <t xml:space="preserve">Knihy, učební pomůcky a tisk
</t>
  </si>
  <si>
    <t xml:space="preserve">Zpracování dat a služby souv. s inf. a kom.technol
</t>
  </si>
  <si>
    <t xml:space="preserve">Cestovné
</t>
  </si>
  <si>
    <t xml:space="preserve">Drobný dlouhodobý hmotný majetek
</t>
  </si>
  <si>
    <t xml:space="preserve">Plyn
</t>
  </si>
  <si>
    <t xml:space="preserve">Věcné dary
</t>
  </si>
  <si>
    <t xml:space="preserve">Neinv.transfery církvím a naboženským společnostem
</t>
  </si>
  <si>
    <t xml:space="preserve">Neinvestiční transfery spolkům
</t>
  </si>
  <si>
    <t xml:space="preserve">Výdaje na náhrady za nezpůsobenou újmu
</t>
  </si>
  <si>
    <t xml:space="preserve">Ostatní nákupy dlouhodobého nehmotného majetku
</t>
  </si>
  <si>
    <t xml:space="preserve">Pohonné hmoty a maziva
</t>
  </si>
  <si>
    <t xml:space="preserve">Náhrady mezd v době nemoci
</t>
  </si>
  <si>
    <t xml:space="preserve">Služby školení a vzdělávání
</t>
  </si>
  <si>
    <t xml:space="preserve">Neinv.transf. fundacím, ústavům a obecně prosp.sp.
</t>
  </si>
  <si>
    <t xml:space="preserve">Léky a zdravotnický materiál
</t>
  </si>
  <si>
    <t xml:space="preserve">Rezerva na krizová opatření
</t>
  </si>
  <si>
    <t xml:space="preserve">Neinvestiční transfery obcím
</t>
  </si>
  <si>
    <t xml:space="preserve">Dopravní prostředky
</t>
  </si>
  <si>
    <t xml:space="preserve">Odměny členů zastupitelstva obcí a krajů
</t>
  </si>
  <si>
    <t xml:space="preserve">Ostatní platy
</t>
  </si>
  <si>
    <t xml:space="preserve">Ostatní povinné pojistné placené zaměstnavatelem
</t>
  </si>
  <si>
    <t xml:space="preserve">Pohoštění
</t>
  </si>
  <si>
    <t xml:space="preserve">Povinné pojistné na úrazové pojištění
</t>
  </si>
  <si>
    <t xml:space="preserve">Odměny za užití duševního vlastnictví
</t>
  </si>
  <si>
    <t xml:space="preserve">Potraviny
</t>
  </si>
  <si>
    <t xml:space="preserve">Prádlo, oděv a obuv
</t>
  </si>
  <si>
    <t xml:space="preserve">Služby peněžních ústavů
</t>
  </si>
  <si>
    <t xml:space="preserve">Programové vybavení
</t>
  </si>
  <si>
    <t xml:space="preserve">Ostatní nákupy j.n.
</t>
  </si>
  <si>
    <t xml:space="preserve">Převody vlastní pokladně
</t>
  </si>
  <si>
    <t xml:space="preserve">Ostatní neinv.transfery nezisk.a podob.organizacím
</t>
  </si>
  <si>
    <t xml:space="preserve">Ostatní neinv.transfery veř.rozp.územní úrovně
</t>
  </si>
  <si>
    <t xml:space="preserve">Ostatní neinvestiční transfery obyvatelstvu
</t>
  </si>
  <si>
    <t xml:space="preserve">Převody vlastním rozpočtovým účtům
</t>
  </si>
  <si>
    <t xml:space="preserve">Platby daní a poplatků krajům, obcím a st.fondům
</t>
  </si>
  <si>
    <t xml:space="preserve">Vratky transferů poskytnutých z veřejných rozpočtů
</t>
  </si>
  <si>
    <t>POL</t>
  </si>
  <si>
    <t>pol+text</t>
  </si>
  <si>
    <t>Poplatek za provoz systému KO</t>
  </si>
  <si>
    <t>Příjmy z prodeje ost. DHM</t>
  </si>
  <si>
    <t>Neinvestiční transféry krajům</t>
  </si>
  <si>
    <t>Neinvestiční transféry cizím PO</t>
  </si>
  <si>
    <t>Nájemné</t>
  </si>
  <si>
    <t>parag</t>
  </si>
  <si>
    <t xml:space="preserve">Bez ODPA
</t>
  </si>
  <si>
    <t xml:space="preserve">Ostatní záležitosti pozemních komunikací
</t>
  </si>
  <si>
    <t xml:space="preserve">Odvádění a čištění odpadních vod a nakl.s kaly
</t>
  </si>
  <si>
    <t xml:space="preserve">Mateřské školy
</t>
  </si>
  <si>
    <t xml:space="preserve">Základní školy
</t>
  </si>
  <si>
    <t xml:space="preserve">Činnosti knihovnické
</t>
  </si>
  <si>
    <t xml:space="preserve">Ostatní záležitosti kultury
</t>
  </si>
  <si>
    <t xml:space="preserve">Pořízení,zachování a obnova hodnot nár hist.povědo
</t>
  </si>
  <si>
    <t xml:space="preserve">Zájmová činnost v kultuře
</t>
  </si>
  <si>
    <t xml:space="preserve">Ostatní záležitosti kultury,církví a sděl.prostř.
</t>
  </si>
  <si>
    <t xml:space="preserve">Sportovní zařízení ve vlastnictví obce
</t>
  </si>
  <si>
    <t xml:space="preserve">Ostatní sportovní činnost
</t>
  </si>
  <si>
    <t xml:space="preserve">Ostatní ambulantní péče
</t>
  </si>
  <si>
    <t xml:space="preserve">ODPA
</t>
  </si>
  <si>
    <t xml:space="preserve">Nebytové hospodářství
</t>
  </si>
  <si>
    <t xml:space="preserve">Veřejné osvětlení
</t>
  </si>
  <si>
    <t xml:space="preserve">Pohřebnictví
</t>
  </si>
  <si>
    <t xml:space="preserve">Územní plánování
</t>
  </si>
  <si>
    <t xml:space="preserve">Sběr a svoz nebezpečných odpadů
</t>
  </si>
  <si>
    <t xml:space="preserve">Sběr a svoz komunálních odpadů
</t>
  </si>
  <si>
    <t xml:space="preserve">Sběr a svoz ost.odpadů (jiných než nebez.a komun.)
</t>
  </si>
  <si>
    <t xml:space="preserve">Využívání a zneškodňování komun.odpadů
</t>
  </si>
  <si>
    <t xml:space="preserve">Péče o vzhled obcí a veřejnou zeleň
</t>
  </si>
  <si>
    <t xml:space="preserve">Osobní asist., peč.služba a podpora samost.bydlení
</t>
  </si>
  <si>
    <t xml:space="preserve">Krizová opatření
</t>
  </si>
  <si>
    <t xml:space="preserve">Ost.správa v obl.hosp.opatření pro kriziové stavy
</t>
  </si>
  <si>
    <t xml:space="preserve">Požární ochrana - dobrovolná část
</t>
  </si>
  <si>
    <t xml:space="preserve">Zastupitelstva obcí
</t>
  </si>
  <si>
    <t xml:space="preserve">Volby do Parlamentu ČR
</t>
  </si>
  <si>
    <t xml:space="preserve">Činnost místní správy
</t>
  </si>
  <si>
    <t xml:space="preserve">Obecné příjmy a výdaje z finančních operací
</t>
  </si>
  <si>
    <t xml:space="preserve">Pojištění funkčně nespecifikované
</t>
  </si>
  <si>
    <t xml:space="preserve">Převody vlastním fondům v rozpočtech územní úrovně
</t>
  </si>
  <si>
    <t xml:space="preserve">Ostatní finanční operace
</t>
  </si>
  <si>
    <t xml:space="preserve">Finanční vypořádání
</t>
  </si>
  <si>
    <t>par+text</t>
  </si>
  <si>
    <t xml:space="preserve">0 - Bez ODPA
</t>
  </si>
  <si>
    <t xml:space="preserve">0  1111 - Daň z příjmů fyzických osob placená plátci
</t>
  </si>
  <si>
    <t xml:space="preserve">0  1112 - Daň z příjmů fyzických osob placená poplatníky
</t>
  </si>
  <si>
    <t xml:space="preserve">0  1113 - Daň z příjmů fyzických osob vybíraná srážkou
</t>
  </si>
  <si>
    <t xml:space="preserve">0  1121 - Daň z příjmů právnických osob
</t>
  </si>
  <si>
    <t xml:space="preserve">0  1122 - Daň z příjmů právnických osob za obce
</t>
  </si>
  <si>
    <t xml:space="preserve">0  1211 - Daň z přidané hodnoty
</t>
  </si>
  <si>
    <t xml:space="preserve">0  1341 - Poplatek ze psů
</t>
  </si>
  <si>
    <t xml:space="preserve">0  1361 - Správní poplatky
</t>
  </si>
  <si>
    <t xml:space="preserve">0  1511 - Daň z nemovitých věcí
</t>
  </si>
  <si>
    <t xml:space="preserve">0  4112 - Neinv.př.transfery ze SR v rámci souhr.dot.vztahu
</t>
  </si>
  <si>
    <t xml:space="preserve">2321 - Odvádění a čištění odpadních vod a nakl.s kaly
</t>
  </si>
  <si>
    <t xml:space="preserve">3113 - Základní školy
</t>
  </si>
  <si>
    <t xml:space="preserve">3613 - Nebytové hospodářství
</t>
  </si>
  <si>
    <t xml:space="preserve">6171 - Činnost místní správy
</t>
  </si>
  <si>
    <t xml:space="preserve">3725 - Využívání a zneškodňování komun.odpadů
</t>
  </si>
  <si>
    <t xml:space="preserve">6310 - Obecné příjmy a výdaje z finančních operací
</t>
  </si>
  <si>
    <t xml:space="preserve">3419 - Ostatní sportovní činnost
</t>
  </si>
  <si>
    <t xml:space="preserve">3631 - Veřejné osvětlení
</t>
  </si>
  <si>
    <t xml:space="preserve">5512 - Požární ochrana - dobrovolná část
</t>
  </si>
  <si>
    <t xml:space="preserve">6112 - Zastupitelstva obcí
</t>
  </si>
  <si>
    <t xml:space="preserve">2219 - Ostatní záležitosti pozemních komunikací
</t>
  </si>
  <si>
    <t xml:space="preserve">3314 - Činnosti knihovnické
</t>
  </si>
  <si>
    <t xml:space="preserve">6399 - Ostatní finanční operace
</t>
  </si>
  <si>
    <t xml:space="preserve">6402 - Finanční vypořádání
</t>
  </si>
  <si>
    <t xml:space="preserve">3319 - Ostatní záležitosti kultury
</t>
  </si>
  <si>
    <t xml:space="preserve">3399 - Ostatní záležitosti kultury,církví a sděl.prostř.
</t>
  </si>
  <si>
    <t xml:space="preserve">3632 - Pohřebnictví
</t>
  </si>
  <si>
    <t xml:space="preserve">3721 - Sběr a svoz nebezpečných odpadů
</t>
  </si>
  <si>
    <t xml:space="preserve">3722 - Sběr a svoz komunálních odpadů
</t>
  </si>
  <si>
    <t xml:space="preserve">3745 - Péče o vzhled obcí a veřejnou zeleň
</t>
  </si>
  <si>
    <t xml:space="preserve">5213 - Krizová opatření
</t>
  </si>
  <si>
    <t>Podpora ostatních produkčních činností</t>
  </si>
  <si>
    <t>Dopravní obslužnost veř. Službami</t>
  </si>
  <si>
    <t>Úpravy drobných vodních toků</t>
  </si>
  <si>
    <t>Vodní díla v zemědělské krajině</t>
  </si>
  <si>
    <t>Zachování a obnova kulturních památek</t>
  </si>
  <si>
    <t>Zájmová činnost a rekreace j.n.</t>
  </si>
  <si>
    <t>1032 - Podpora ostatních produkčních činností</t>
  </si>
  <si>
    <t>3429 - Zájmová činnost a rekreace j.n.</t>
  </si>
  <si>
    <t>3639 - Komunální služby a územní rozvoj j.n.</t>
  </si>
  <si>
    <t>2212 - Silnice</t>
  </si>
  <si>
    <t>2292 - Dopravní obslužnost veř. Službami</t>
  </si>
  <si>
    <t>2333 - Úpravy drobných vodních toků</t>
  </si>
  <si>
    <t>2341 - Vodní díla v zemědělské krajině</t>
  </si>
  <si>
    <t>3421 - Využití volného času dětí a mládeže</t>
  </si>
  <si>
    <t>Obecní úřad - opravy chodníků a místních komunikací</t>
  </si>
  <si>
    <t>Obecní úřad - Cesta Trnava - Kratonohy</t>
  </si>
  <si>
    <t>Obec Zvíkov, Budín - zpevnění plochy u zastávky</t>
  </si>
  <si>
    <t>Obecní knihovna - knihovnický program</t>
  </si>
  <si>
    <t>Obecní knihovna - spotřební materiál</t>
  </si>
  <si>
    <t xml:space="preserve">Obecní knihovna - příspěvek KÚ </t>
  </si>
  <si>
    <t>SDH Boharyně - Rybářské závody</t>
  </si>
  <si>
    <t>SDH Trnava - sportovní a kulturní akce (ceny)</t>
  </si>
  <si>
    <t>SDH Zvíkov - sportovní akce</t>
  </si>
  <si>
    <t xml:space="preserve">Český zahrádkářský svaz  Boharyně - Příspěvek na zájezdy </t>
  </si>
  <si>
    <t>JK Boharyně - startovné, ustájení koní, Hubertova jízda</t>
  </si>
  <si>
    <t>Kulturní  akce - obec - Setkání seniorů</t>
  </si>
  <si>
    <t>TJ Boharyně - sportovní kroužek pro děti</t>
  </si>
  <si>
    <t>TJ Boharyně - údržba sportovního arealu - oprava sekačky, mzdy</t>
  </si>
  <si>
    <t>Obec Trnava - oprava hracích prvků</t>
  </si>
  <si>
    <t>SDH Boharyně - Oprava a údržba techniky</t>
  </si>
  <si>
    <t>SDH Boharyně - Technické prohlídky</t>
  </si>
  <si>
    <t>SDH Boharyně - školení</t>
  </si>
  <si>
    <t>SDH Boharyně - lékařské prohlídky</t>
  </si>
  <si>
    <t>SDH Boharyně - Pohonné hmoty</t>
  </si>
  <si>
    <t>SDH Trnava - pohonné hmoty</t>
  </si>
  <si>
    <t>SDH Trnava - oprava a údržba techniky</t>
  </si>
  <si>
    <t>SDH Zvíkov - pohonné hmoty</t>
  </si>
  <si>
    <t>SDH Zvíkov - opravy a údržba</t>
  </si>
  <si>
    <t xml:space="preserve">1032  2111 - Příjmy z poskytování služeb a výrobků
</t>
  </si>
  <si>
    <t xml:space="preserve">3429  2111 - Příjmy z poskytování služeb a výrobků
</t>
  </si>
  <si>
    <t xml:space="preserve">3613  2111 - Příjmy z poskytování služeb a výrobků
</t>
  </si>
  <si>
    <t xml:space="preserve">3613  2132 - Přijmy z pronájmu ost. nem. věcí a jejich částí
</t>
  </si>
  <si>
    <t xml:space="preserve">3639  2131 - Příjmy z pronájmu pozemků
</t>
  </si>
  <si>
    <t xml:space="preserve">3725  2324 - Přijaté nekapitálové příspěvky a náhrady
</t>
  </si>
  <si>
    <t xml:space="preserve">6171  2111 - Příjmy z poskytování služeb a výrobků
</t>
  </si>
  <si>
    <t xml:space="preserve">6310  2141 - Příjmy z úroků (část)
</t>
  </si>
  <si>
    <t xml:space="preserve">1032  5021 - Ostatní osobní výdaje
</t>
  </si>
  <si>
    <t xml:space="preserve">1032  5169 - Nákup ostatních služeb
</t>
  </si>
  <si>
    <t xml:space="preserve">2212  5171 - Opravy a udržování
</t>
  </si>
  <si>
    <t xml:space="preserve">2219  5171 - Opravy a udržování
</t>
  </si>
  <si>
    <t xml:space="preserve">2219  5169 - Nákup ostatních služeb
</t>
  </si>
  <si>
    <t>2292  5323 - Neinvestiční transféry krajům</t>
  </si>
  <si>
    <t xml:space="preserve">2321  5154 - Elektrická energie
</t>
  </si>
  <si>
    <t xml:space="preserve">2321  5169 - Nákup ostatních služeb
</t>
  </si>
  <si>
    <t xml:space="preserve">2321  5171 - Opravy a udržování
</t>
  </si>
  <si>
    <t xml:space="preserve">2333  5171 - Opravy a udržování
</t>
  </si>
  <si>
    <t xml:space="preserve">2341  5171 - Opravy a udržování
</t>
  </si>
  <si>
    <t xml:space="preserve">3113  5153 - Plyn
</t>
  </si>
  <si>
    <t xml:space="preserve">3113  5171 - Opravy a udržování
</t>
  </si>
  <si>
    <t xml:space="preserve">3113  5194 - Věcné dary
</t>
  </si>
  <si>
    <t xml:space="preserve">3113  5331 - Neinvestiční příspěvky zřízeným příspěvkovým organ
</t>
  </si>
  <si>
    <t xml:space="preserve">3314  5021 - Ostatní osobní výdaje
</t>
  </si>
  <si>
    <t xml:space="preserve">3314  5136 - Knihy, učební pomůcky a tisk
</t>
  </si>
  <si>
    <t xml:space="preserve">3314  5139 - Nákup materiálu j.n.
</t>
  </si>
  <si>
    <t xml:space="preserve">3314  5168 - Zpracování dat a služby souv. s inf. a kom.technol
</t>
  </si>
  <si>
    <t>3314  5339 - Neinvestiční transféry cizím PO</t>
  </si>
  <si>
    <t xml:space="preserve">3319  5139 - Nákup materiálu j.n.
</t>
  </si>
  <si>
    <t xml:space="preserve">3319  5499 - Ostatní neinvestiční transfery obyvatelstvu
</t>
  </si>
  <si>
    <t xml:space="preserve">3319  5222 - Neinvestiční transfery spolkům
</t>
  </si>
  <si>
    <t xml:space="preserve">3319  5169 - Nákup ostatních služeb
</t>
  </si>
  <si>
    <t xml:space="preserve">3419  5222 - Neinvestiční transfery spolkům
</t>
  </si>
  <si>
    <t xml:space="preserve">3421  5171 - Opravy a udržování
</t>
  </si>
  <si>
    <t xml:space="preserve">3613  5021 - Ostatní osobní výdaje
</t>
  </si>
  <si>
    <t xml:space="preserve">3613  5137 - Drobný dlouhodobý hmotný majetek
</t>
  </si>
  <si>
    <t xml:space="preserve">3613  5151 - Studená voda
</t>
  </si>
  <si>
    <t xml:space="preserve">3613  5154 - Elektrická energie
</t>
  </si>
  <si>
    <t xml:space="preserve">3613  5169 - Nákup ostatních služeb
</t>
  </si>
  <si>
    <t xml:space="preserve">3613  5171 - Opravy a udržování
</t>
  </si>
  <si>
    <t xml:space="preserve">3631  5154 - Elektrická energie
</t>
  </si>
  <si>
    <t xml:space="preserve">3631  5171 - Opravy a udržování
</t>
  </si>
  <si>
    <t xml:space="preserve">3632  5139 - Nákup materiálu j.n.
</t>
  </si>
  <si>
    <t xml:space="preserve">3632  5171 - Opravy a udržování
</t>
  </si>
  <si>
    <t xml:space="preserve">3721  5169 - Nákup ostatních služeb
</t>
  </si>
  <si>
    <t xml:space="preserve">3722  5169 - Nákup ostatních služeb
</t>
  </si>
  <si>
    <t xml:space="preserve">3745  5021 - Ostatní osobní výdaje
</t>
  </si>
  <si>
    <t xml:space="preserve">3745  5139 - Nákup materiálu j.n.
</t>
  </si>
  <si>
    <t xml:space="preserve">3745  5156 - Pohonné hmoty a maziva
</t>
  </si>
  <si>
    <t xml:space="preserve">3745  5163 - Služby peněžních ústavů
</t>
  </si>
  <si>
    <t xml:space="preserve">3745  5169 - Nákup ostatních služeb
</t>
  </si>
  <si>
    <t xml:space="preserve">3745  5329 - Ostatní neinv.transfery veř.rozp.územní úrovně
</t>
  </si>
  <si>
    <t xml:space="preserve">5213  5903 - Rezerva na krizová opatření
</t>
  </si>
  <si>
    <t xml:space="preserve">5512  5151 - Studená voda
</t>
  </si>
  <si>
    <t xml:space="preserve">5512  5153 - Plyn
</t>
  </si>
  <si>
    <t xml:space="preserve">5512  5154 - Elektrická energie
</t>
  </si>
  <si>
    <t xml:space="preserve">5512  5156 - Pohonné hmoty a maziva
</t>
  </si>
  <si>
    <t xml:space="preserve">5512  5167 - Služby školení a vzdělávání
</t>
  </si>
  <si>
    <t xml:space="preserve">5512  5169 - Nákup ostatních služeb
</t>
  </si>
  <si>
    <t xml:space="preserve">5512  5171 - Opravy a udržování
</t>
  </si>
  <si>
    <t xml:space="preserve">5512  5139 - Nákup materiálu j.n.
</t>
  </si>
  <si>
    <t xml:space="preserve">6112  5023 - Odměny členů zastupitelstva obcí a krajů
</t>
  </si>
  <si>
    <t xml:space="preserve">6112  5032 - Povinné poj.na veřejné zdravotní pojištění
</t>
  </si>
  <si>
    <t xml:space="preserve">6171  5011 - Platy zaměst. v pr.poměru vyjma zaměst. na služ.m.
</t>
  </si>
  <si>
    <t xml:space="preserve">6171  5021 - Ostatní osobní výdaje
</t>
  </si>
  <si>
    <t xml:space="preserve">6171  5031 - Povinné poj.na soc.zab.a přísp.na st.pol.zaměstnan
</t>
  </si>
  <si>
    <t xml:space="preserve">6171  5032 - Povinné poj.na veřejné zdravotní pojištění
</t>
  </si>
  <si>
    <t xml:space="preserve">6171  5038 - Povinné pojistné na úrazové pojištění
</t>
  </si>
  <si>
    <t xml:space="preserve">6171  5136 - Knihy, učební pomůcky a tisk
</t>
  </si>
  <si>
    <t xml:space="preserve">6171  5137 - Drobný dlouhodobý hmotný majetek
</t>
  </si>
  <si>
    <t xml:space="preserve">6171  5139 - Nákup materiálu j.n.
</t>
  </si>
  <si>
    <t xml:space="preserve">6171  5151 - Studená voda
</t>
  </si>
  <si>
    <t xml:space="preserve">6171  5153 - Plyn
</t>
  </si>
  <si>
    <t xml:space="preserve">6171  5154 - Elektrická energie
</t>
  </si>
  <si>
    <t xml:space="preserve">6171  5161 - Poštovní služby
</t>
  </si>
  <si>
    <t xml:space="preserve">6171  5162 - Služby elektronických komunikací
</t>
  </si>
  <si>
    <t xml:space="preserve">6171  5163 - Služby peněžních ústavů
</t>
  </si>
  <si>
    <t>6171  5164 - Nájemné</t>
  </si>
  <si>
    <t xml:space="preserve">6171  5167 - Služby školení a vzdělávání
</t>
  </si>
  <si>
    <t xml:space="preserve">6171  5168 - Zpracování dat a služby souv. s inf. a kom.technol
</t>
  </si>
  <si>
    <t xml:space="preserve">6171  5169 - Nákup ostatních služeb
</t>
  </si>
  <si>
    <t xml:space="preserve">6171  5171 - Opravy a udržování
</t>
  </si>
  <si>
    <t xml:space="preserve">6171  5173 - Cestovné
</t>
  </si>
  <si>
    <t xml:space="preserve">6171  5175 - Pohoštění
</t>
  </si>
  <si>
    <t xml:space="preserve">6171  5179 - Ostatní nákupy j.n.
</t>
  </si>
  <si>
    <t xml:space="preserve">6171  5321 - Neinvestiční transfery obcím
</t>
  </si>
  <si>
    <t xml:space="preserve">6171  5329 - Ostatní neinv.transfery veř.rozp.územní úrovně
</t>
  </si>
  <si>
    <t xml:space="preserve">6171  5362 - Platby daní a poplatků státnímu rozpočtu
</t>
  </si>
  <si>
    <t xml:space="preserve">6171  5499 - Ostatní neinvestiční transfery obyvatelstvu
</t>
  </si>
  <si>
    <t xml:space="preserve">6310  5163 - Služby peněžních ústavů
</t>
  </si>
  <si>
    <t xml:space="preserve">6399  5365 - Platby daní a poplatků krajům, obcím a st.fondům
</t>
  </si>
  <si>
    <t xml:space="preserve">6402  5364 - Vratky transferů poskytnutých z veřejných rozpočtů
</t>
  </si>
  <si>
    <t>Stroje, přístroje a zařízení</t>
  </si>
  <si>
    <t xml:space="preserve">2219  6121 - Budovy, haly a stavby
</t>
  </si>
  <si>
    <t>zde jsem Já</t>
  </si>
  <si>
    <t>ostatní služby</t>
  </si>
  <si>
    <t>Obecní knihovna - nákup nových knih + předplatné</t>
  </si>
  <si>
    <t>SDH Boharyně - Rozloučení s prázdninami</t>
  </si>
  <si>
    <t>finanční dar charita</t>
  </si>
  <si>
    <t>obecní zpravodaj</t>
  </si>
  <si>
    <t xml:space="preserve">3319  5229 - Ostatní neinv.transfery nezisk.a podob.organizacím
</t>
  </si>
  <si>
    <t>Věcný dar Jubilanti</t>
  </si>
  <si>
    <t>věcné dary občánci</t>
  </si>
  <si>
    <t>Kulturní  akce - obec - Setkání jubilantů</t>
  </si>
  <si>
    <t>Investiční transfery spolkům</t>
  </si>
  <si>
    <t>revize + oprava dětské hřiště</t>
  </si>
  <si>
    <t xml:space="preserve">3399  5175 - Pohoštění
</t>
  </si>
  <si>
    <t xml:space="preserve">3399  5194 - Věcné dary
</t>
  </si>
  <si>
    <t>nákup stromků Boharyně a Homyle</t>
  </si>
  <si>
    <t>odměny členů výbor</t>
  </si>
  <si>
    <t>DPP čížková úklid oú</t>
  </si>
  <si>
    <t>kdyby náhodou</t>
  </si>
  <si>
    <t>členství ve Svazu měst a obcí ČR</t>
  </si>
  <si>
    <t>P.P V. Tomáš</t>
  </si>
  <si>
    <r>
      <t>Návrh rozpočet obce na rok 2022 je zveřejněn na internetových stránkách obce  http://www.boharyne.cz/uredni-deska a  http://www.boharyne.cz/rozpocet-financni-dokumenty.</t>
    </r>
    <r>
      <rPr>
        <sz val="11"/>
        <color indexed="8"/>
        <rFont val="Verdana"/>
        <family val="2"/>
        <charset val="238"/>
      </rPr>
      <t xml:space="preserve"> </t>
    </r>
  </si>
  <si>
    <t>Vyvěšeno:</t>
  </si>
  <si>
    <t>Do listinné podoby lze nahlédnout v sídle obecního úřadu Boharyně - Boharyně čp. 53</t>
  </si>
  <si>
    <t xml:space="preserve">3613  6121 - Budovy, haly a stavby
</t>
  </si>
  <si>
    <t>Obec Trnava - sklad hasičské techniky</t>
  </si>
  <si>
    <t>zdravotní V.T. 9%</t>
  </si>
  <si>
    <t>Rozpočet obce Boharyně na rok 2023 (Návrh)</t>
  </si>
  <si>
    <t>stejné jako v roce 2022</t>
  </si>
  <si>
    <t>Obec DP 2022</t>
  </si>
  <si>
    <t>členské příspěvky 2022 MR Nechanicko</t>
  </si>
  <si>
    <t>vratka volby 2022</t>
  </si>
  <si>
    <t xml:space="preserve">2321  2111 - Příjmy z poskytování služeb a výrobků
</t>
  </si>
  <si>
    <t>starosta</t>
  </si>
  <si>
    <t>místostarosta</t>
  </si>
  <si>
    <t>předseda</t>
  </si>
  <si>
    <t>člen výboru</t>
  </si>
  <si>
    <t>zastupitel</t>
  </si>
  <si>
    <t>členové výboru (kultura)</t>
  </si>
  <si>
    <t>Vlasta</t>
  </si>
  <si>
    <t>mzda Aneta počítám že měsíčně udělá 25h</t>
  </si>
  <si>
    <t>záloha EE - ČOV</t>
  </si>
  <si>
    <t>záloha EE ČS Boharyně</t>
  </si>
  <si>
    <t>záloha voda TJ + stánek</t>
  </si>
  <si>
    <t>nárůst o 20%</t>
  </si>
  <si>
    <t>stejné jako v roce 2022 bankovní poplatky</t>
  </si>
  <si>
    <t>stejné jako v roce 2022 pojištění</t>
  </si>
  <si>
    <t>stejné jako v roce 2022 pojištění strojů</t>
  </si>
  <si>
    <t>úroky úvěr</t>
  </si>
  <si>
    <t>stejné jako v roce 2022 - DPP</t>
  </si>
  <si>
    <t>stejné jako v roce 2022 - pracovní oděvy VLASTA</t>
  </si>
  <si>
    <t>materiál na opravy (VLASTA)</t>
  </si>
  <si>
    <t>kdyby náhodou - FA od SDH, popř. rezerva</t>
  </si>
  <si>
    <t xml:space="preserve">2321  5141 - Úroky vlastní
</t>
  </si>
  <si>
    <t xml:space="preserve">6171  5134 - Prádlo, oděv a obuv
</t>
  </si>
  <si>
    <t>VODA CZ servisní činnost</t>
  </si>
  <si>
    <t>Kalvoda provoz</t>
  </si>
  <si>
    <t>výpočet počet lidí X poplatek</t>
  </si>
  <si>
    <t>opravyzdražení</t>
  </si>
  <si>
    <t>DPH</t>
  </si>
  <si>
    <t xml:space="preserve">6399  5362 - Platby daní a poplatků státnímu rozpočtu
</t>
  </si>
  <si>
    <t>Fidler</t>
  </si>
  <si>
    <t>03 - financování</t>
  </si>
  <si>
    <t>01 - příjem</t>
  </si>
  <si>
    <t>02 - výdej</t>
  </si>
  <si>
    <t>Splátka úvěru</t>
  </si>
  <si>
    <t>Změna stavu bankovních účtů</t>
  </si>
  <si>
    <t xml:space="preserve">Př. Z poplatku za obecní odpadní systém </t>
  </si>
  <si>
    <t xml:space="preserve">0  1345 - Př. Z poplatku za obecní odpadní systém </t>
  </si>
  <si>
    <t xml:space="preserve">  8124 - Splátka úvěru</t>
  </si>
  <si>
    <t>splátky úvěru výši přesně nevím ???</t>
  </si>
  <si>
    <t>výpočet hodnoty z FIN / 9 * 12, ale mezi ročně nárůst v průměru o 17%</t>
  </si>
  <si>
    <t>výpočet hodnoty z FIN / 9 * 12</t>
  </si>
  <si>
    <t>opravy silnic "rezerva"</t>
  </si>
  <si>
    <t>Obec Trnava - zámková dlažba Brož + KZ</t>
  </si>
  <si>
    <t>Obec Trnava - zámková dlažba pro podkontejnery</t>
  </si>
  <si>
    <t>zámková dlažba - SKLAD OÚ Trnava</t>
  </si>
  <si>
    <t>vývozy + čištění</t>
  </si>
  <si>
    <t>energie "rezerva"</t>
  </si>
  <si>
    <t>opravy vpustí</t>
  </si>
  <si>
    <t>4x prvnáčků (1500 x 5) příspěvěk na tašku</t>
  </si>
  <si>
    <t>příspvěk bez plynu</t>
  </si>
  <si>
    <t>Kulturní výbor akce</t>
  </si>
  <si>
    <t>Cyklovýlet</t>
  </si>
  <si>
    <t>opravy "rezerva"</t>
  </si>
  <si>
    <t>SDH Trnava - trika, obnova materiálu</t>
  </si>
  <si>
    <t>Obec Zvíkov, Budín - vybavení dětského hřiště (doplnění herních prvků)</t>
  </si>
  <si>
    <t xml:space="preserve">3421  6121 - Budovy, haly a stavby
</t>
  </si>
  <si>
    <t>Opravy zpevněných ploch + okna</t>
  </si>
  <si>
    <t>zastávka Boharyně</t>
  </si>
  <si>
    <t>Předpoklad k 31.12.2022</t>
  </si>
  <si>
    <t>Rozpočet 2023</t>
  </si>
  <si>
    <t>Komunální služby</t>
  </si>
  <si>
    <t>kulturní akce pro seniory (besedy, prevence apod.)</t>
  </si>
  <si>
    <t>projekt na nové veřejné osvětlení v Trnavě (příprava pro
dotaci)</t>
  </si>
  <si>
    <t>Ještě bude něco do Nechanic</t>
  </si>
  <si>
    <t xml:space="preserve">3419  5139 - Nákup materiálu j.n.
</t>
  </si>
  <si>
    <t xml:space="preserve">3631  6121 - Budovy, haly a stavby
</t>
  </si>
  <si>
    <t>rezervní fond "krize"</t>
  </si>
  <si>
    <t>DPH </t>
  </si>
  <si>
    <t>Daň z příjmu FO ze závislé činnosti -základní podíl</t>
  </si>
  <si>
    <t>Daň z příjmu FO ze závislé činnosti -motivace 1,5%</t>
  </si>
  <si>
    <t>Daň z příjmu FO - kapitálové výnosy</t>
  </si>
  <si>
    <t>Daň z příjmu právnických osob</t>
  </si>
  <si>
    <t>Daň z příjmů OSVČ</t>
  </si>
  <si>
    <t>Sdílené daně 2023 celkem</t>
  </si>
  <si>
    <t>Sdílené daně 2022 celkem</t>
  </si>
  <si>
    <t>Rozdíl oproti roku 2022 (tis. Kč)</t>
  </si>
  <si>
    <t>Rozdíl oproti roku 2022 (%)</t>
  </si>
  <si>
    <t>Zvíkově na zpevněné plochy u hřbitova</t>
  </si>
  <si>
    <t>PŘÍSPĚVEK NA VÝKON STÁTNÍ SPRÁVY - dle https://www.prispevekobce.cz/detail-2023/569887</t>
  </si>
  <si>
    <t>Rozpočet se navrhuje jako přebytkový s přebytkem 375 769 Kč.</t>
  </si>
  <si>
    <t>V Boharyni  dne: 22.11.2022</t>
  </si>
  <si>
    <t>Návrh rozpočtu na rok 2023 bude projednán na zasedání zastupitelstva Obce 14.12.2022.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</si>
</sst>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_-;\-* #,##0_-;_-* &quot;-&quot;??_-;_-@_-"/>
    <numFmt numFmtId="167" formatCode="_-* #,##0.0_-;\-* #,##0.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AEFF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64" fontId="7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4"/>
    <xf numFmtId="0" fontId="5" fillId="0" borderId="0" xfId="4" applyFont="1"/>
    <xf numFmtId="0" fontId="6" fillId="0" borderId="0" xfId="4" applyFont="1"/>
    <xf numFmtId="165" fontId="8" fillId="0" borderId="0" xfId="5" applyNumberFormat="1" applyFont="1" applyAlignment="1">
      <alignment horizontal="center"/>
    </xf>
    <xf numFmtId="165" fontId="9" fillId="0" borderId="0" xfId="5" applyNumberFormat="1" applyFont="1" applyAlignment="1"/>
    <xf numFmtId="0" fontId="5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Font="1"/>
    <xf numFmtId="165" fontId="5" fillId="0" borderId="0" xfId="5" applyNumberFormat="1" applyFont="1" applyAlignment="1">
      <alignment horizontal="right"/>
    </xf>
    <xf numFmtId="0" fontId="7" fillId="0" borderId="0" xfId="4" applyFont="1" applyAlignment="1">
      <alignment horizontal="center"/>
    </xf>
    <xf numFmtId="0" fontId="7" fillId="0" borderId="0" xfId="4" applyFont="1"/>
    <xf numFmtId="0" fontId="7" fillId="0" borderId="0" xfId="4" applyFont="1" applyAlignment="1">
      <alignment horizontal="center" shrinkToFit="1"/>
    </xf>
    <xf numFmtId="0" fontId="7" fillId="0" borderId="0" xfId="4" applyFont="1" applyAlignment="1">
      <alignment shrinkToFit="1"/>
    </xf>
    <xf numFmtId="0" fontId="7" fillId="0" borderId="0" xfId="4" applyFont="1" applyAlignment="1">
      <alignment horizontal="justify" shrinkToFit="1"/>
    </xf>
    <xf numFmtId="0" fontId="7" fillId="0" borderId="0" xfId="4" applyFont="1" applyAlignment="1">
      <alignment horizontal="right" shrinkToFit="1"/>
    </xf>
    <xf numFmtId="0" fontId="3" fillId="0" borderId="0" xfId="4" applyAlignment="1">
      <alignment shrinkToFit="1"/>
    </xf>
    <xf numFmtId="0" fontId="7" fillId="0" borderId="0" xfId="4" applyFont="1" applyAlignment="1">
      <alignment horizontal="justify"/>
    </xf>
    <xf numFmtId="3" fontId="7" fillId="0" borderId="0" xfId="4" applyNumberFormat="1" applyFont="1" applyAlignment="1">
      <alignment horizontal="right" shrinkToFit="1"/>
    </xf>
    <xf numFmtId="0" fontId="7" fillId="0" borderId="0" xfId="4" applyFont="1" applyAlignment="1">
      <alignment horizontal="right"/>
    </xf>
    <xf numFmtId="0" fontId="11" fillId="0" borderId="0" xfId="4" applyFont="1" applyAlignment="1">
      <alignment shrinkToFit="1"/>
    </xf>
    <xf numFmtId="0" fontId="5" fillId="0" borderId="0" xfId="4" applyFont="1" applyAlignment="1">
      <alignment shrinkToFit="1"/>
    </xf>
    <xf numFmtId="0" fontId="6" fillId="0" borderId="0" xfId="4" applyFont="1" applyAlignment="1">
      <alignment shrinkToFit="1"/>
    </xf>
    <xf numFmtId="0" fontId="5" fillId="0" borderId="1" xfId="4" applyFont="1" applyBorder="1" applyAlignment="1">
      <alignment horizontal="justify" shrinkToFit="1"/>
    </xf>
    <xf numFmtId="0" fontId="5" fillId="0" borderId="0" xfId="4" applyFont="1" applyAlignment="1">
      <alignment horizontal="justify" shrinkToFit="1"/>
    </xf>
    <xf numFmtId="0" fontId="12" fillId="0" borderId="0" xfId="4" applyFont="1" applyAlignment="1">
      <alignment horizontal="right" shrinkToFit="1"/>
    </xf>
    <xf numFmtId="0" fontId="12" fillId="0" borderId="0" xfId="4" applyFont="1" applyAlignment="1">
      <alignment shrinkToFit="1"/>
    </xf>
    <xf numFmtId="0" fontId="5" fillId="0" borderId="1" xfId="4" applyFont="1" applyBorder="1" applyAlignment="1">
      <alignment horizontal="justify"/>
    </xf>
    <xf numFmtId="0" fontId="5" fillId="0" borderId="0" xfId="4" applyFont="1" applyAlignment="1">
      <alignment horizontal="justify"/>
    </xf>
    <xf numFmtId="0" fontId="13" fillId="0" borderId="0" xfId="4" applyFont="1"/>
    <xf numFmtId="0" fontId="7" fillId="0" borderId="0" xfId="4" applyFont="1" applyAlignment="1">
      <alignment horizontal="left"/>
    </xf>
    <xf numFmtId="0" fontId="3" fillId="0" borderId="0" xfId="4" applyAlignment="1">
      <alignment wrapText="1" shrinkToFit="1"/>
    </xf>
    <xf numFmtId="0" fontId="12" fillId="0" borderId="0" xfId="4" applyFont="1" applyAlignment="1">
      <alignment horizontal="justify"/>
    </xf>
    <xf numFmtId="3" fontId="5" fillId="0" borderId="0" xfId="4" applyNumberFormat="1" applyFont="1"/>
    <xf numFmtId="44" fontId="0" fillId="0" borderId="0" xfId="2" applyFont="1"/>
    <xf numFmtId="44" fontId="0" fillId="0" borderId="0" xfId="0" applyNumberFormat="1"/>
    <xf numFmtId="43" fontId="3" fillId="0" borderId="0" xfId="1" applyFont="1"/>
    <xf numFmtId="43" fontId="3" fillId="0" borderId="0" xfId="1" applyFont="1" applyAlignment="1">
      <alignment shrinkToFit="1"/>
    </xf>
    <xf numFmtId="43" fontId="3" fillId="0" borderId="0" xfId="1" applyFont="1" applyAlignment="1">
      <alignment wrapText="1" shrinkToFit="1"/>
    </xf>
    <xf numFmtId="166" fontId="7" fillId="0" borderId="0" xfId="1" applyNumberFormat="1" applyFont="1"/>
    <xf numFmtId="166" fontId="3" fillId="0" borderId="0" xfId="1" applyNumberFormat="1" applyFont="1" applyAlignment="1">
      <alignment shrinkToFit="1"/>
    </xf>
    <xf numFmtId="166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 shrinkToFit="1"/>
    </xf>
    <xf numFmtId="166" fontId="7" fillId="0" borderId="0" xfId="1" applyNumberFormat="1" applyFont="1" applyAlignment="1">
      <alignment shrinkToFit="1"/>
    </xf>
    <xf numFmtId="166" fontId="3" fillId="0" borderId="0" xfId="1" applyNumberFormat="1" applyFont="1"/>
    <xf numFmtId="166" fontId="5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Border="1"/>
    <xf numFmtId="44" fontId="0" fillId="0" borderId="0" xfId="2" applyFont="1" applyBorder="1"/>
    <xf numFmtId="49" fontId="0" fillId="0" borderId="0" xfId="0" applyNumberFormat="1"/>
    <xf numFmtId="167" fontId="7" fillId="0" borderId="0" xfId="1" applyNumberFormat="1" applyFont="1" applyAlignment="1">
      <alignment shrinkToFit="1"/>
    </xf>
    <xf numFmtId="167" fontId="7" fillId="0" borderId="0" xfId="1" applyNumberFormat="1" applyFont="1" applyAlignment="1">
      <alignment horizontal="right"/>
    </xf>
    <xf numFmtId="167" fontId="7" fillId="0" borderId="0" xfId="1" applyNumberFormat="1" applyFont="1"/>
    <xf numFmtId="167" fontId="12" fillId="0" borderId="0" xfId="1" applyNumberFormat="1" applyFont="1" applyAlignment="1">
      <alignment shrinkToFit="1"/>
    </xf>
    <xf numFmtId="0" fontId="7" fillId="0" borderId="0" xfId="4" applyFont="1" applyAlignment="1">
      <alignment horizontal="left"/>
    </xf>
    <xf numFmtId="165" fontId="5" fillId="0" borderId="0" xfId="5" applyNumberFormat="1" applyFont="1" applyFill="1" applyAlignment="1"/>
    <xf numFmtId="3" fontId="13" fillId="0" borderId="0" xfId="4" applyNumberFormat="1" applyFont="1" applyFill="1"/>
    <xf numFmtId="0" fontId="7" fillId="0" borderId="0" xfId="4" applyFont="1" applyFill="1" applyAlignment="1">
      <alignment horizontal="left"/>
    </xf>
    <xf numFmtId="165" fontId="16" fillId="0" borderId="0" xfId="3" applyNumberFormat="1" applyFont="1" applyFill="1" applyAlignment="1">
      <alignment horizontal="right"/>
    </xf>
    <xf numFmtId="0" fontId="3" fillId="0" borderId="0" xfId="4" applyFont="1" applyFill="1"/>
    <xf numFmtId="3" fontId="3" fillId="0" borderId="0" xfId="4" applyNumberFormat="1" applyFont="1" applyFill="1"/>
    <xf numFmtId="165" fontId="17" fillId="0" borderId="0" xfId="3" applyNumberFormat="1" applyFont="1" applyFill="1" applyAlignment="1"/>
    <xf numFmtId="166" fontId="16" fillId="0" borderId="0" xfId="1" applyNumberFormat="1" applyFont="1" applyFill="1" applyAlignment="1">
      <alignment horizontal="right"/>
    </xf>
    <xf numFmtId="166" fontId="16" fillId="0" borderId="0" xfId="1" applyNumberFormat="1" applyFont="1" applyFill="1" applyAlignment="1">
      <alignment horizontal="right" shrinkToFit="1"/>
    </xf>
    <xf numFmtId="166" fontId="3" fillId="0" borderId="0" xfId="1" applyNumberFormat="1" applyFont="1" applyFill="1" applyAlignment="1">
      <alignment shrinkToFit="1"/>
    </xf>
    <xf numFmtId="166" fontId="16" fillId="0" borderId="0" xfId="1" applyNumberFormat="1" applyFont="1" applyFill="1" applyAlignment="1">
      <alignment horizontal="right" vertical="center" shrinkToFit="1"/>
    </xf>
    <xf numFmtId="166" fontId="16" fillId="0" borderId="0" xfId="1" applyNumberFormat="1" applyFont="1" applyFill="1"/>
    <xf numFmtId="0" fontId="0" fillId="0" borderId="0" xfId="0" applyAlignment="1">
      <alignment wrapText="1"/>
    </xf>
    <xf numFmtId="166" fontId="6" fillId="0" borderId="0" xfId="4" applyNumberFormat="1" applyFont="1"/>
    <xf numFmtId="166" fontId="3" fillId="0" borderId="0" xfId="4" applyNumberFormat="1"/>
    <xf numFmtId="3" fontId="12" fillId="0" borderId="0" xfId="4" applyNumberFormat="1" applyFont="1" applyAlignment="1">
      <alignment horizontal="right" shrinkToFit="1"/>
    </xf>
    <xf numFmtId="166" fontId="12" fillId="0" borderId="0" xfId="1" applyNumberFormat="1" applyFont="1" applyFill="1" applyAlignment="1">
      <alignment shrinkToFit="1"/>
    </xf>
    <xf numFmtId="0" fontId="12" fillId="0" borderId="0" xfId="4" applyFont="1"/>
    <xf numFmtId="44" fontId="18" fillId="3" borderId="2" xfId="0" applyNumberFormat="1" applyFont="1" applyFill="1" applyBorder="1"/>
    <xf numFmtId="0" fontId="19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2" fillId="4" borderId="5" xfId="0" applyNumberFormat="1" applyFont="1" applyFill="1" applyBorder="1" applyAlignment="1">
      <alignment horizontal="right"/>
    </xf>
    <xf numFmtId="3" fontId="23" fillId="4" borderId="5" xfId="0" applyNumberFormat="1" applyFont="1" applyFill="1" applyBorder="1" applyAlignment="1">
      <alignment horizontal="right"/>
    </xf>
    <xf numFmtId="0" fontId="23" fillId="4" borderId="5" xfId="0" applyFont="1" applyFill="1" applyBorder="1" applyAlignment="1">
      <alignment horizontal="right"/>
    </xf>
    <xf numFmtId="0" fontId="22" fillId="4" borderId="6" xfId="0" applyFont="1" applyFill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10" fontId="24" fillId="0" borderId="8" xfId="0" applyNumberFormat="1" applyFont="1" applyBorder="1" applyAlignment="1">
      <alignment horizontal="right"/>
    </xf>
    <xf numFmtId="0" fontId="4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14" fillId="0" borderId="0" xfId="4" applyFont="1" applyAlignment="1">
      <alignment horizontal="left" wrapText="1" shrinkToFit="1"/>
    </xf>
    <xf numFmtId="0" fontId="7" fillId="0" borderId="0" xfId="4" applyFont="1" applyAlignment="1">
      <alignment horizontal="left" wrapText="1"/>
    </xf>
  </cellXfs>
  <cellStyles count="6">
    <cellStyle name="Čárka" xfId="1" builtinId="3"/>
    <cellStyle name="Čárka 2" xfId="5" xr:uid="{039B807A-7391-4696-AC53-D887CF712BDA}"/>
    <cellStyle name="Měna" xfId="2" builtinId="4"/>
    <cellStyle name="Normální" xfId="0" builtinId="0"/>
    <cellStyle name="Normální 2" xfId="4" xr:uid="{55BF0D35-1810-4A0E-900F-55D1A14794AA}"/>
    <cellStyle name="Špatně" xfId="3" builtinId="27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bec" refreshedDate="44888.73353888889" createdVersion="7" refreshedVersion="8" minRefreshableVersion="3" recordCount="169" xr:uid="{F3B1CD7C-2AB2-443E-930F-D35C659CD6D5}">
  <cacheSource type="worksheet">
    <worksheetSource name="Tabulka1"/>
  </cacheSource>
  <cacheFields count="10">
    <cacheField name="typ" numFmtId="0">
      <sharedItems containsBlank="1" count="7">
        <s v="01 - příjem"/>
        <s v="02 - výdej"/>
        <s v="03 - financování"/>
        <s v="příjem" u="1"/>
        <m u="1"/>
        <s v="výdej" u="1"/>
        <s v="financování" u="1"/>
      </sharedItems>
    </cacheField>
    <cacheField name="paragraf" numFmtId="0">
      <sharedItems containsString="0" containsBlank="1" containsNumber="1" containsInteger="1" minValue="0" maxValue="6402"/>
    </cacheField>
    <cacheField name="položka" numFmtId="0">
      <sharedItems containsSemiMixedTypes="0" containsString="0" containsNumber="1" containsInteger="1" minValue="1111" maxValue="8124"/>
    </cacheField>
    <cacheField name="rozpočet" numFmtId="44">
      <sharedItems containsSemiMixedTypes="0" containsString="0" containsNumber="1" minValue="0" maxValue="5495000"/>
    </cacheField>
    <cacheField name="text" numFmtId="0">
      <sharedItems/>
    </cacheField>
    <cacheField name="pomocné" numFmtId="44">
      <sharedItems containsString="0" containsBlank="1" containsNumber="1" minValue="300" maxValue="71951"/>
    </cacheField>
    <cacheField name="par+název.par" numFmtId="0">
      <sharedItems containsBlank="1" count="34">
        <s v="0 - Bez ODPA_x000a_"/>
        <s v="1032 - Podpora ostatních produkčních činností"/>
        <s v="3429 - Zájmová činnost a rekreace j.n."/>
        <s v="3113 - Základní školy_x000a_"/>
        <s v="3639 - Komunální služby a územní rozvoj j.n."/>
        <s v="2212 - Silnice"/>
        <s v="3725 - Využívání a zneškodňování komun.odpadů_x000a_"/>
        <s v="6171 - Činnost místní správy_x000a_"/>
        <s v="6310 - Obecné příjmy a výdaje z finančních operací_x000a_"/>
        <s v="2219 - Ostatní záležitosti pozemních komunikací_x000a_"/>
        <s v="3319 - Ostatní záležitosti kultury_x000a_"/>
        <s v="2321 - Odvádění a čištění odpadních vod a nakl.s kaly_x000a_"/>
        <s v="2292 - Dopravní obslužnost veř. Službami"/>
        <s v="2333 - Úpravy drobných vodních toků"/>
        <s v="2341 - Vodní díla v zemědělské krajině"/>
        <s v="3613 - Nebytové hospodářství_x000a_"/>
        <s v="3314 - Činnosti knihovnické_x000a_"/>
        <s v="3399 - Ostatní záležitosti kultury,církví a sděl.prostř._x000a_"/>
        <s v="3421 - Využití volného času dětí a mládeže"/>
        <s v="3419 - Ostatní sportovní činnost_x000a_"/>
        <s v="3631 - Veřejné osvětlení_x000a_"/>
        <s v="3632 - Pohřebnictví_x000a_"/>
        <s v="3721 - Sběr a svoz nebezpečných odpadů_x000a_"/>
        <s v="3722 - Sběr a svoz komunálních odpadů_x000a_"/>
        <s v="3745 - Péče o vzhled obcí a veřejnou zeleň_x000a_"/>
        <s v="5512 - Požární ochrana - dobrovolná část_x000a_"/>
        <s v="6112 - Zastupitelstva obcí_x000a_"/>
        <s v="6399 - Ostatní finanční operace_x000a_"/>
        <s v="6402 - Finanční vypořádání_x000a_"/>
        <s v="5213 - Krizová opatření_x000a_"/>
        <m u="1"/>
        <s v="3326 - Pořízení,zachování a obnova hodnot nár hist.povědo_x000a_" u="1"/>
        <e v="#N/A" u="1"/>
        <s v="3322 - Zachování a obnova kulturních památek" u="1"/>
      </sharedItems>
    </cacheField>
    <cacheField name="položka+název.položky" numFmtId="0">
      <sharedItems/>
    </cacheField>
    <cacheField name="par+položka+název.položky" numFmtId="0">
      <sharedItems containsBlank="1" count="160">
        <s v="0  1111 - Daň z příjmů fyzických osob placená plátci_x000a_"/>
        <s v="0  1112 - Daň z příjmů fyzických osob placená poplatníky_x000a_"/>
        <s v="0  1113 - Daň z příjmů fyzických osob vybíraná srážkou_x000a_"/>
        <s v="0  1121 - Daň z příjmů právnických osob_x000a_"/>
        <s v="0  1122 - Daň z příjmů právnických osob za obce_x000a_"/>
        <s v="0  1211 - Daň z přidané hodnoty_x000a_"/>
        <s v="0  1345 - Př. Z poplatku za obecní odpadní systém "/>
        <s v="0  1341 - Poplatek ze psů_x000a_"/>
        <s v="0  1361 - Správní poplatky_x000a_"/>
        <s v="0  1511 - Daň z nemovitých věcí_x000a_"/>
        <s v="0  4112 - Neinv.př.transfery ze SR v rámci souhr.dot.vztahu_x000a_"/>
        <s v="1032  2111 - Příjmy z poskytování služeb a výrobků_x000a_"/>
        <s v="3429  2111 - Příjmy z poskytování služeb a výrobků_x000a_"/>
        <s v="3113  5153 - Plyn_x000a_"/>
        <s v="3113  5171 - Opravy a udržování_x000a_"/>
        <s v="3113  5194 - Věcné dary_x000a_"/>
        <s v="3113  5331 - Neinvestiční příspěvky zřízeným příspěvkovým organ_x000a_"/>
        <s v="3639  2131 - Příjmy z pronájmu pozemků_x000a_"/>
        <s v="2212  5171 - Opravy a udržování_x000a_"/>
        <s v="3725  2324 - Přijaté nekapitálové příspěvky a náhrady_x000a_"/>
        <s v="6171  2111 - Příjmy z poskytování služeb a výrobků_x000a_"/>
        <s v="6310  2141 - Příjmy z úroků (část)_x000a_"/>
        <s v="1032  5021 - Ostatní osobní výdaje_x000a_"/>
        <s v="1032  5169 - Nákup ostatních služeb_x000a_"/>
        <s v="2219  5169 - Nákup ostatních služeb_x000a_"/>
        <s v="3319  5139 - Nákup materiálu j.n._x000a_"/>
        <s v="2219  5171 - Opravy a udržování_x000a_"/>
        <s v="2219  6121 - Budovy, haly a stavby_x000a_"/>
        <s v="2321  2111 - Příjmy z poskytování služeb a výrobků_x000a_"/>
        <s v="2292  5323 - Neinvestiční transféry krajům"/>
        <s v="2321  5141 - Úroky vlastní_x000a_"/>
        <s v="2321  5154 - Elektrická energie_x000a_"/>
        <s v="2321  5169 - Nákup ostatních služeb_x000a_"/>
        <s v="2321  5171 - Opravy a udržování_x000a_"/>
        <s v="2333  5171 - Opravy a udržování_x000a_"/>
        <s v="2341  5171 - Opravy a udržování_x000a_"/>
        <s v="3613  2111 - Příjmy z poskytování služeb a výrobků_x000a_"/>
        <s v="3613  2132 - Přijmy z pronájmu ost. nem. věcí a jejich částí_x000a_"/>
        <s v="3314  5021 - Ostatní osobní výdaje_x000a_"/>
        <s v="3314  5136 - Knihy, učební pomůcky a tisk_x000a_"/>
        <s v="3314  5139 - Nákup materiálu j.n._x000a_"/>
        <s v="3314  5168 - Zpracování dat a služby souv. s inf. a kom.technol_x000a_"/>
        <s v="3314  5339 - Neinvestiční transféry cizím PO"/>
        <s v="3399  5175 - Pohoštění_x000a_"/>
        <s v="3421  6121 - Budovy, haly a stavby_x000a_"/>
        <s v="3319  5169 - Nákup ostatních služeb_x000a_"/>
        <s v="3319  5222 - Neinvestiční transfery spolkům_x000a_"/>
        <s v="3319  5229 - Ostatní neinv.transfery nezisk.a podob.organizacím_x000a_"/>
        <s v="3399  5194 - Věcné dary_x000a_"/>
        <s v="3419  5139 - Nákup materiálu j.n._x000a_"/>
        <s v="3419  5222 - Neinvestiční transfery spolkům_x000a_"/>
        <s v="3421  5171 - Opravy a udržování_x000a_"/>
        <s v="3613  5021 - Ostatní osobní výdaje_x000a_"/>
        <s v="3613  5137 - Drobný dlouhodobý hmotný majetek_x000a_"/>
        <s v="3613  5151 - Studená voda_x000a_"/>
        <s v="3613  5154 - Elektrická energie_x000a_"/>
        <s v="3613  5169 - Nákup ostatních služeb_x000a_"/>
        <s v="3613  5171 - Opravy a udržování_x000a_"/>
        <s v="3613  6121 - Budovy, haly a stavby_x000a_"/>
        <s v="3631  5154 - Elektrická energie_x000a_"/>
        <s v="3631  5171 - Opravy a udržování_x000a_"/>
        <s v="3632  5139 - Nákup materiálu j.n._x000a_"/>
        <s v="3632  5171 - Opravy a udržování_x000a_"/>
        <s v="3721  5169 - Nákup ostatních služeb_x000a_"/>
        <s v="3722  5169 - Nákup ostatních služeb_x000a_"/>
        <s v="3745  5021 - Ostatní osobní výdaje_x000a_"/>
        <s v="3745  5139 - Nákup materiálu j.n._x000a_"/>
        <s v="3745  5156 - Pohonné hmoty a maziva_x000a_"/>
        <s v="3745  5163 - Služby peněžních ústavů_x000a_"/>
        <s v="3745  5169 - Nákup ostatních služeb_x000a_"/>
        <s v="3745  5329 - Ostatní neinv.transfery veř.rozp.územní úrovně_x000a_"/>
        <s v="5512  5169 - Nákup ostatních služeb_x000a_"/>
        <s v="5512  5171 - Opravy a udržování_x000a_"/>
        <s v="5512  5156 - Pohonné hmoty a maziva_x000a_"/>
        <s v="5512  5167 - Služby školení a vzdělávání_x000a_"/>
        <s v="5512  5139 - Nákup materiálu j.n._x000a_"/>
        <s v="5512  5153 - Plyn_x000a_"/>
        <s v="5512  5151 - Studená voda_x000a_"/>
        <s v="5512  5154 - Elektrická energie_x000a_"/>
        <s v="6112  5023 - Odměny členů zastupitelstva obcí a krajů_x000a_"/>
        <s v="6112  5032 - Povinné poj.na veřejné zdravotní pojištění_x000a_"/>
        <s v="6171  5011 - Platy zaměst. v pr.poměru vyjma zaměst. na služ.m._x000a_"/>
        <s v="6171  5021 - Ostatní osobní výdaje_x000a_"/>
        <s v="6171  5031 - Povinné poj.na soc.zab.a přísp.na st.pol.zaměstnan_x000a_"/>
        <s v="6171  5032 - Povinné poj.na veřejné zdravotní pojištění_x000a_"/>
        <s v="6171  5038 - Povinné pojistné na úrazové pojištění_x000a_"/>
        <s v="6171  5134 - Prádlo, oděv a obuv_x000a_"/>
        <s v="6171  5136 - Knihy, učební pomůcky a tisk_x000a_"/>
        <s v="6171  5137 - Drobný dlouhodobý hmotný majetek_x000a_"/>
        <s v="6171  5139 - Nákup materiálu j.n._x000a_"/>
        <s v="6171  5151 - Studená voda_x000a_"/>
        <s v="6171  5153 - Plyn_x000a_"/>
        <s v="6171  5161 - Poštovní služby_x000a_"/>
        <s v="6171  5162 - Služby elektronických komunikací_x000a_"/>
        <s v="6171  5163 - Služby peněžních ústavů_x000a_"/>
        <s v="6171  5164 - Nájemné"/>
        <s v="6171  5167 - Služby školení a vzdělávání_x000a_"/>
        <s v="6171  5168 - Zpracování dat a služby souv. s inf. a kom.technol_x000a_"/>
        <s v="6171  5169 - Nákup ostatních služeb_x000a_"/>
        <s v="6171  5171 - Opravy a udržování_x000a_"/>
        <s v="6171  5173 - Cestovné_x000a_"/>
        <s v="6171  5175 - Pohoštění_x000a_"/>
        <s v="6171  5179 - Ostatní nákupy j.n._x000a_"/>
        <s v="6171  5321 - Neinvestiční transfery obcím_x000a_"/>
        <s v="6171  5329 - Ostatní neinv.transfery veř.rozp.územní úrovně_x000a_"/>
        <s v="6171  5362 - Platby daní a poplatků státnímu rozpočtu_x000a_"/>
        <s v="6171  5499 - Ostatní neinvestiční transfery obyvatelstvu_x000a_"/>
        <s v="6310  5163 - Služby peněžních ústavů_x000a_"/>
        <s v="6399  5362 - Platby daní a poplatků státnímu rozpočtu_x000a_"/>
        <s v="6399  5365 - Platby daní a poplatků krajům, obcím a st.fondům_x000a_"/>
        <s v="6402  5364 - Vratky transferů poskytnutých z veřejných rozpočtů_x000a_"/>
        <s v="  8124 - Splátka úvěru"/>
        <s v="6171  5154 - Elektrická energie_x000a_"/>
        <s v="3319  5499 - Ostatní neinvestiční transfery obyvatelstvu_x000a_"/>
        <s v="3631  6121 - Budovy, haly a stavby_x000a_"/>
        <s v="5213  5903 - Rezerva na krizová opatření_x000a_"/>
        <m u="1"/>
        <s v="6171  6121 - Budovy, haly a stavby_x000a_" u="1"/>
        <s v="0000  1211 - Daň z přidané hodnoty_x000a_" u="1"/>
        <s v="0  1340 - Poplatek za provoz systému KO" u="1"/>
        <e v="#N/A" u="1"/>
        <s v="0000  1113 - Daň z příjmů fyzických osob vybíraná srážkou_x000a_" u="1"/>
        <s v="5512  5175 - Pohoštění_x000a_" u="1"/>
        <s v="3319  5175 - Pohoštění_x000a_" u="1"/>
        <s v="3419  5151 - Studená voda_x000a_" u="1"/>
        <s v="0000  1341 - Poplatek ze psů_x000a_" u="1"/>
        <s v="2321  5189 - Jistoty_x000a_" u="1"/>
        <s v="0000  1340 - Poplatek za provoz systému KO" u="1"/>
        <s v="3419  6122 - Stroje, přístroje a zařízení" u="1"/>
        <s v="3399  5139 - Nákup materiálu j.n._x000a_" u="1"/>
        <s v="0000  4112 - Neinv.př.transfery ze SR v rámci souhr.dot.vztahu_x000a_" u="1"/>
        <s v="3421  5137 - Drobný dlouhodobý hmotný majetek_x000a_" u="1"/>
        <s v="3421  5169 - Nákup ostatních služeb_x000a_" u="1"/>
        <s v="0000  1111 - Daň z příjmů fyzických osob placená plátci_x000a_" u="1"/>
        <s v="3326  5171 - Opravy a udržování_x000a_" u="1"/>
        <s v="3319  5194 - Věcné dary_x000a_" u="1"/>
        <s v="3631  5139 - Nákup materiálu j.n._x000a_" u="1"/>
        <s v="0000  1361 - Správní poplatky_x000a_" u="1"/>
        <s v="3113  2111 - Příjmy z poskytování služeb a výrobků_x000a_" u="1"/>
        <s v="0000  4216 - Ostatní invest.přijaté transf.ze státního rozpočtu_x000a_" u="1"/>
        <s v="3745  5134 - Prádlo, oděv a obuv_x000a_" u="1"/>
        <s v="0000  1121 - Daň z příjmů právnických osob_x000a_" u="1"/>
        <s v="0000  1511 - Daň z nemovitých věcí_x000a_" u="1"/>
        <s v="3322  5169 - Nákup ostatních služeb_x000a_" u="1"/>
        <s v="2321  6121 - Budovy, haly a stavby_x000a_" u="1"/>
        <s v="3322  5171 - Opravy a udržování_x000a_" u="1"/>
        <s v="0000  1112 - Daň z příjmů fyzických osob placená poplatníky_x000a_" u="1"/>
        <s v="3421  5139 - Nákup materiálu j.n._x000a_" u="1"/>
        <s v="5512  5136 - Knihy, učební pomůcky a tisk_x000a_" u="1"/>
        <s v="0  4216 - Ostatní invest.přijaté transf.ze státního rozpočtu_x000a_" u="1"/>
        <s v="3429  5169 - Nákup ostatních služeb_x000a_" u="1"/>
        <s v="3419  5171 - Opravy a udržování_x000a_" u="1"/>
        <s v="3429  5171 - Opravy a udržování_x000a_" u="1"/>
        <s v="5512  5134 - Prádlo, oděv a obuv_x000a_" u="1"/>
        <s v="5512  6121 - Budovy, haly a stavby_x000a_" u="1"/>
        <s v="5512  5137 - Drobný dlouhodobý hmotný majetek_x000a_" u="1"/>
        <s v="3419  6322 - Investiční transfery spolkům" u="1"/>
        <s v="0000  1122 - Daň z příjmů právnických osob za obce_x000a_" u="1"/>
        <s v="3319  5137 - Drobný dlouhodobý hmotný majetek_x000a_" u="1"/>
        <s v="2321  3113 - Příjmy z prodeje ost. DHM" u="1"/>
      </sharedItems>
    </cacheField>
    <cacheField name="rozpočet hodnoty" numFmtId="0">
      <sharedItems containsSemiMixedTypes="0" containsString="0" containsNumber="1" minValue="-1500000" maxValue="5495000"/>
    </cacheField>
  </cacheFields>
  <extLst>
    <ext xmlns:x14="http://schemas.microsoft.com/office/spreadsheetml/2009/9/main" uri="{725AE2AE-9491-48be-B2B4-4EB974FC3084}">
      <x14:pivotCacheDefinition pivotCacheId="81340348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x v="0"/>
    <n v="0"/>
    <n v="1111"/>
    <n v="1550000"/>
    <s v="výpočet hodnoty z FIN / 9 * 12, ale mezi ročně nárůst v průměru o 17%"/>
    <m/>
    <x v="0"/>
    <s v="1111 - Daň z příjmů fyzických osob placená plátci_x000a_"/>
    <x v="0"/>
    <n v="1550000"/>
  </r>
  <r>
    <x v="0"/>
    <n v="0"/>
    <n v="1112"/>
    <n v="135000"/>
    <s v="výpočet hodnoty z FIN / 9 * 12, ale mezi ročně nárůst v průměru o 17%"/>
    <m/>
    <x v="0"/>
    <s v="1112 - Daň z příjmů fyzických osob placená poplatníky_x000a_"/>
    <x v="1"/>
    <n v="135000"/>
  </r>
  <r>
    <x v="0"/>
    <n v="0"/>
    <n v="1113"/>
    <n v="324000"/>
    <s v="výpočet hodnoty z FIN / 9 * 12, ale mezi ročně nárůst v průměru o 17%"/>
    <m/>
    <x v="0"/>
    <s v="1113 - Daň z příjmů fyzických osob vybíraná srážkou_x000a_"/>
    <x v="2"/>
    <n v="324000"/>
  </r>
  <r>
    <x v="0"/>
    <n v="0"/>
    <n v="1121"/>
    <n v="2658000"/>
    <s v="výpočet hodnoty z FIN / 9 * 12, ale mezi ročně nárůst v průměru o 17%"/>
    <m/>
    <x v="0"/>
    <s v="1121 - Daň z příjmů právnických osob_x000a_"/>
    <x v="3"/>
    <n v="2658000"/>
  </r>
  <r>
    <x v="0"/>
    <n v="0"/>
    <n v="1122"/>
    <n v="500000"/>
    <s v="Obec DP 2022"/>
    <m/>
    <x v="0"/>
    <s v="1122 - Daň z příjmů právnických osob za obce_x000a_"/>
    <x v="4"/>
    <n v="500000"/>
  </r>
  <r>
    <x v="0"/>
    <n v="0"/>
    <n v="1211"/>
    <n v="5495000"/>
    <s v="výpočet hodnoty z FIN / 9 * 12, ale mezi ročně nárůst v průměru o 17%"/>
    <m/>
    <x v="0"/>
    <s v="1211 - Daň z přidané hodnoty_x000a_"/>
    <x v="5"/>
    <n v="5495000"/>
  </r>
  <r>
    <x v="0"/>
    <n v="0"/>
    <n v="1345"/>
    <n v="362400"/>
    <s v="zde potřebuji znát počet obyvatel * 600"/>
    <m/>
    <x v="0"/>
    <s v="1345 - Př. Z poplatku za obecní odpadní systém "/>
    <x v="6"/>
    <n v="362400"/>
  </r>
  <r>
    <x v="0"/>
    <n v="0"/>
    <n v="1341"/>
    <n v="16000"/>
    <s v="zde potřebuji znát počet psů * 100"/>
    <m/>
    <x v="0"/>
    <s v="1341 - Poplatek ze psů_x000a_"/>
    <x v="7"/>
    <n v="16000"/>
  </r>
  <r>
    <x v="0"/>
    <n v="0"/>
    <n v="1361"/>
    <n v="3200"/>
    <s v="výpočet hodnoty z FIN / 9 * 12"/>
    <m/>
    <x v="0"/>
    <s v="1361 - Správní poplatky_x000a_"/>
    <x v="8"/>
    <n v="3200"/>
  </r>
  <r>
    <x v="0"/>
    <n v="0"/>
    <n v="1511"/>
    <n v="1122000"/>
    <s v="výpočet hodnoty z FIN / 9 * 12, ale mezi ročně nárůst v průměru o 17%"/>
    <m/>
    <x v="0"/>
    <s v="1511 - Daň z nemovitých věcí_x000a_"/>
    <x v="9"/>
    <n v="1122000"/>
  </r>
  <r>
    <x v="0"/>
    <n v="0"/>
    <n v="4112"/>
    <n v="149500"/>
    <s v="PŘÍSPĚVEK NA VÝKON STÁTNÍ SPRÁVY - dle https://www.prispevekobce.cz/detail-2023/569887"/>
    <m/>
    <x v="0"/>
    <s v="4112 - Neinv.př.transfery ze SR v rámci souhr.dot.vztahu_x000a_"/>
    <x v="10"/>
    <n v="149500"/>
  </r>
  <r>
    <x v="0"/>
    <n v="1032"/>
    <n v="2111"/>
    <n v="130000"/>
    <s v="stejné jako v roce 2022"/>
    <m/>
    <x v="1"/>
    <s v="2111 - Příjmy z poskytování služeb a výrobků_x000a_"/>
    <x v="11"/>
    <n v="130000"/>
  </r>
  <r>
    <x v="0"/>
    <n v="3429"/>
    <n v="2111"/>
    <n v="3000"/>
    <s v="stejné jako v roce 2022"/>
    <m/>
    <x v="2"/>
    <s v="2111 - Příjmy z poskytování služeb a výrobků_x000a_"/>
    <x v="12"/>
    <n v="3000"/>
  </r>
  <r>
    <x v="1"/>
    <n v="3113"/>
    <n v="5153"/>
    <n v="432000"/>
    <s v="záloha plyn - ZŠ"/>
    <n v="36000"/>
    <x v="3"/>
    <s v="5153 - Plyn_x000a_"/>
    <x v="13"/>
    <n v="-432000"/>
  </r>
  <r>
    <x v="1"/>
    <n v="3113"/>
    <n v="5171"/>
    <n v="130000"/>
    <s v="Opravy zpevněných ploch + okna"/>
    <m/>
    <x v="3"/>
    <s v="5171 - Opravy a udržování_x000a_"/>
    <x v="14"/>
    <n v="-130000"/>
  </r>
  <r>
    <x v="1"/>
    <n v="3113"/>
    <n v="5194"/>
    <n v="7500"/>
    <s v="4x prvnáčků (1500 x 5) příspěvěk na tašku"/>
    <m/>
    <x v="3"/>
    <s v="5194 - Věcné dary_x000a_"/>
    <x v="15"/>
    <n v="-7500"/>
  </r>
  <r>
    <x v="1"/>
    <n v="3113"/>
    <n v="5331"/>
    <n v="850000"/>
    <s v="příspvěk bez plynu"/>
    <m/>
    <x v="3"/>
    <s v="5331 - Neinvestiční příspěvky zřízeným příspěvkovým organ_x000a_"/>
    <x v="16"/>
    <n v="-850000"/>
  </r>
  <r>
    <x v="0"/>
    <n v="3639"/>
    <n v="2131"/>
    <n v="1"/>
    <s v="Nájemné za společenské zařízení na hřišt"/>
    <m/>
    <x v="4"/>
    <s v="2131 - Příjmy z pronájmu pozemků_x000a_"/>
    <x v="17"/>
    <n v="1"/>
  </r>
  <r>
    <x v="1"/>
    <n v="2212"/>
    <n v="5171"/>
    <n v="100000"/>
    <s v="opravy silnic &quot;rezerva&quot;"/>
    <m/>
    <x v="5"/>
    <s v="5171 - Opravy a udržování_x000a_"/>
    <x v="18"/>
    <n v="-100000"/>
  </r>
  <r>
    <x v="0"/>
    <n v="3639"/>
    <n v="2131"/>
    <n v="1"/>
    <s v="Pachtovné vodní nádrž v Boharyni"/>
    <m/>
    <x v="4"/>
    <s v="2131 - Příjmy z pronájmu pozemků_x000a_"/>
    <x v="17"/>
    <n v="1"/>
  </r>
  <r>
    <x v="0"/>
    <n v="3639"/>
    <n v="2131"/>
    <n v="1"/>
    <s v="Pachtovné za rybník  Trnavě"/>
    <m/>
    <x v="4"/>
    <s v="2131 - Příjmy z pronájmu pozemků_x000a_"/>
    <x v="17"/>
    <n v="1"/>
  </r>
  <r>
    <x v="0"/>
    <n v="3639"/>
    <n v="2131"/>
    <n v="1"/>
    <s v="Pachtovné za vod. plochu v trnavě MS Bys"/>
    <m/>
    <x v="4"/>
    <s v="2131 - Příjmy z pronájmu pozemků_x000a_"/>
    <x v="17"/>
    <n v="1"/>
  </r>
  <r>
    <x v="0"/>
    <n v="3639"/>
    <n v="2131"/>
    <n v="100"/>
    <s v="Pronájem pozemků Bažantová."/>
    <m/>
    <x v="4"/>
    <s v="2131 - Příjmy z pronájmu pozemků_x000a_"/>
    <x v="17"/>
    <n v="100"/>
  </r>
  <r>
    <x v="0"/>
    <n v="3639"/>
    <n v="2131"/>
    <n v="343"/>
    <s v="nájemné honejbní spolek Kosičky"/>
    <m/>
    <x v="4"/>
    <s v="2131 - Příjmy z pronájmu pozemků_x000a_"/>
    <x v="17"/>
    <n v="343"/>
  </r>
  <r>
    <x v="0"/>
    <n v="3639"/>
    <n v="2131"/>
    <n v="3323"/>
    <s v="Pronájem pozemků agropodnik Humburky"/>
    <m/>
    <x v="4"/>
    <s v="2131 - Příjmy z pronájmu pozemků_x000a_"/>
    <x v="17"/>
    <n v="3323"/>
  </r>
  <r>
    <x v="0"/>
    <n v="3639"/>
    <n v="2131"/>
    <n v="12209"/>
    <s v="pronájem pozemků Štancl"/>
    <m/>
    <x v="4"/>
    <s v="2131 - Příjmy z pronájmu pozemků_x000a_"/>
    <x v="17"/>
    <n v="12209"/>
  </r>
  <r>
    <x v="0"/>
    <n v="3639"/>
    <n v="2131"/>
    <n v="113507"/>
    <s v="pachotvné ZS Kratonohy na rok"/>
    <m/>
    <x v="4"/>
    <s v="2131 - Příjmy z pronájmu pozemků_x000a_"/>
    <x v="17"/>
    <n v="113507"/>
  </r>
  <r>
    <x v="0"/>
    <n v="3725"/>
    <n v="2324"/>
    <n v="140000"/>
    <s v="Ekokom"/>
    <m/>
    <x v="6"/>
    <s v="2324 - Přijaté nekapitálové příspěvky a náhrady_x000a_"/>
    <x v="19"/>
    <n v="140000"/>
  </r>
  <r>
    <x v="0"/>
    <n v="6171"/>
    <n v="2111"/>
    <n v="5000"/>
    <s v="stejné jako v roce 2022"/>
    <m/>
    <x v="7"/>
    <s v="2111 - Příjmy z poskytování služeb a výrobků_x000a_"/>
    <x v="20"/>
    <n v="5000"/>
  </r>
  <r>
    <x v="0"/>
    <n v="6310"/>
    <n v="2141"/>
    <n v="1500"/>
    <s v="stejné jako v roce 2022"/>
    <m/>
    <x v="8"/>
    <s v="2141 - Příjmy z úroků (část)_x000a_"/>
    <x v="21"/>
    <n v="1500"/>
  </r>
  <r>
    <x v="1"/>
    <n v="1032"/>
    <n v="5021"/>
    <n v="10000"/>
    <s v="stejné jako v roce 2022"/>
    <m/>
    <x v="1"/>
    <s v="5021 - Ostatní osobní výdaje_x000a_"/>
    <x v="22"/>
    <n v="-10000"/>
  </r>
  <r>
    <x v="1"/>
    <n v="1032"/>
    <n v="5169"/>
    <n v="50000"/>
    <s v="stejné jako v roce 2022"/>
    <m/>
    <x v="1"/>
    <s v="5169 - Nákup ostatních služeb_x000a_"/>
    <x v="23"/>
    <n v="-50000"/>
  </r>
  <r>
    <x v="1"/>
    <n v="2219"/>
    <n v="5169"/>
    <n v="20000"/>
    <s v="Obec Zvíkov, Budín - zpevnění plochy u zastávky"/>
    <m/>
    <x v="9"/>
    <s v="5169 - Nákup ostatních služeb_x000a_"/>
    <x v="24"/>
    <n v="-20000"/>
  </r>
  <r>
    <x v="1"/>
    <n v="3319"/>
    <n v="5139"/>
    <n v="10000"/>
    <s v="Cyklovýlet"/>
    <m/>
    <x v="10"/>
    <s v="5139 - Nákup materiálu j.n._x000a_"/>
    <x v="25"/>
    <n v="-10000"/>
  </r>
  <r>
    <x v="1"/>
    <n v="2219"/>
    <n v="5171"/>
    <n v="100000"/>
    <s v="Obec Trnava - zámková dlažba Brož + KZ"/>
    <m/>
    <x v="9"/>
    <s v="5171 - Opravy a udržování_x000a_"/>
    <x v="26"/>
    <n v="-100000"/>
  </r>
  <r>
    <x v="1"/>
    <n v="2219"/>
    <n v="6121"/>
    <n v="200000"/>
    <s v="Obec Trnava - zámková dlažba pro podkontejnery"/>
    <m/>
    <x v="9"/>
    <s v="6121 - Budovy, haly a stavby_x000a_"/>
    <x v="27"/>
    <n v="-200000"/>
  </r>
  <r>
    <x v="1"/>
    <n v="2219"/>
    <n v="5171"/>
    <n v="1500000"/>
    <s v="Obecní úřad - opravy chodníků a místních komunikací"/>
    <m/>
    <x v="9"/>
    <s v="5171 - Opravy a udržování_x000a_"/>
    <x v="26"/>
    <n v="-1500000"/>
  </r>
  <r>
    <x v="1"/>
    <n v="2219"/>
    <n v="6121"/>
    <n v="80000"/>
    <s v="zámková dlažba - SKLAD OÚ Trnava"/>
    <m/>
    <x v="9"/>
    <s v="6121 - Budovy, haly a stavby_x000a_"/>
    <x v="27"/>
    <n v="-80000"/>
  </r>
  <r>
    <x v="1"/>
    <n v="2219"/>
    <n v="6121"/>
    <n v="150000"/>
    <s v="Obecní úřad - Cesta Trnava - Kratonohy"/>
    <m/>
    <x v="9"/>
    <s v="6121 - Budovy, haly a stavby_x000a_"/>
    <x v="27"/>
    <n v="-150000"/>
  </r>
  <r>
    <x v="0"/>
    <n v="2321"/>
    <n v="2111"/>
    <n v="0"/>
    <s v="výpočet počet lidí X poplatek"/>
    <m/>
    <x v="11"/>
    <s v="2111 - Příjmy z poskytování služeb a výrobků_x000a_"/>
    <x v="28"/>
    <n v="0"/>
  </r>
  <r>
    <x v="1"/>
    <n v="2292"/>
    <n v="5323"/>
    <n v="45000"/>
    <s v="stejné jako v roce 2022"/>
    <m/>
    <x v="12"/>
    <s v="5323 - Neinvestiční transféry krajům"/>
    <x v="29"/>
    <n v="-45000"/>
  </r>
  <r>
    <x v="1"/>
    <n v="2321"/>
    <n v="5141"/>
    <n v="144000"/>
    <s v="úroky úvěr"/>
    <n v="12000"/>
    <x v="11"/>
    <s v="5141 - Úroky vlastní_x000a_"/>
    <x v="30"/>
    <n v="-144000"/>
  </r>
  <r>
    <x v="1"/>
    <n v="2321"/>
    <n v="5154"/>
    <n v="3600"/>
    <s v="záloha EE - ČOV"/>
    <n v="300"/>
    <x v="11"/>
    <s v="5154 - Elektrická energie_x000a_"/>
    <x v="31"/>
    <n v="-3600"/>
  </r>
  <r>
    <x v="1"/>
    <n v="2321"/>
    <n v="5154"/>
    <n v="6000"/>
    <s v="záloha EE čov p.č. 69"/>
    <n v="500"/>
    <x v="11"/>
    <s v="5154 - Elektrická energie_x000a_"/>
    <x v="31"/>
    <n v="-6000"/>
  </r>
  <r>
    <x v="1"/>
    <n v="2321"/>
    <n v="5154"/>
    <n v="6000"/>
    <s v="záloha EE ČS Boharyně"/>
    <n v="500"/>
    <x v="11"/>
    <s v="5154 - Elektrická energie_x000a_"/>
    <x v="31"/>
    <n v="-6000"/>
  </r>
  <r>
    <x v="1"/>
    <n v="2321"/>
    <n v="5154"/>
    <n v="9120"/>
    <s v="záloha čov p.č. 466"/>
    <n v="760"/>
    <x v="11"/>
    <s v="5154 - Elektrická energie_x000a_"/>
    <x v="31"/>
    <n v="-9120"/>
  </r>
  <r>
    <x v="1"/>
    <n v="2321"/>
    <n v="5169"/>
    <n v="100000"/>
    <s v="vývozy + čištění"/>
    <m/>
    <x v="11"/>
    <s v="5169 - Nákup ostatních služeb_x000a_"/>
    <x v="32"/>
    <n v="-100000"/>
  </r>
  <r>
    <x v="1"/>
    <n v="2321"/>
    <n v="5169"/>
    <n v="14520"/>
    <s v="VODA CZ servisní činnost"/>
    <n v="1210"/>
    <x v="11"/>
    <s v="5169 - Nákup ostatních služeb_x000a_"/>
    <x v="32"/>
    <n v="-14520"/>
  </r>
  <r>
    <x v="1"/>
    <n v="2321"/>
    <n v="5169"/>
    <n v="87120"/>
    <s v="Kalvoda provoz"/>
    <n v="21780"/>
    <x v="11"/>
    <s v="5169 - Nákup ostatních služeb_x000a_"/>
    <x v="32"/>
    <n v="-87120"/>
  </r>
  <r>
    <x v="1"/>
    <n v="2321"/>
    <n v="5169"/>
    <n v="5600"/>
    <s v="Fidler"/>
    <n v="1400"/>
    <x v="11"/>
    <s v="5169 - Nákup ostatních služeb_x000a_"/>
    <x v="32"/>
    <n v="-5600"/>
  </r>
  <r>
    <x v="1"/>
    <n v="2321"/>
    <n v="5171"/>
    <n v="150000"/>
    <s v="opravy vpustí"/>
    <m/>
    <x v="11"/>
    <s v="5171 - Opravy a udržování_x000a_"/>
    <x v="33"/>
    <n v="-150000"/>
  </r>
  <r>
    <x v="1"/>
    <n v="2333"/>
    <n v="5171"/>
    <n v="20000"/>
    <s v="stejné jako v roce 2022"/>
    <m/>
    <x v="13"/>
    <s v="5171 - Opravy a udržování_x000a_"/>
    <x v="34"/>
    <n v="-20000"/>
  </r>
  <r>
    <x v="1"/>
    <n v="2341"/>
    <n v="5171"/>
    <n v="20000"/>
    <s v="stejné jako v roce 2022"/>
    <m/>
    <x v="14"/>
    <s v="5171 - Opravy a udržování_x000a_"/>
    <x v="35"/>
    <n v="-20000"/>
  </r>
  <r>
    <x v="0"/>
    <n v="3613"/>
    <n v="2111"/>
    <n v="25000"/>
    <s v="stejné jako v roce 2022"/>
    <m/>
    <x v="15"/>
    <s v="2111 - Příjmy z poskytování služeb a výrobků_x000a_"/>
    <x v="36"/>
    <n v="25000"/>
  </r>
  <r>
    <x v="0"/>
    <n v="3613"/>
    <n v="2132"/>
    <n v="12000"/>
    <s v="pronájem hospoda Kolář"/>
    <m/>
    <x v="15"/>
    <s v="2132 - Přijmy z pronájmu ost. nem. věcí a jejich částí_x000a_"/>
    <x v="37"/>
    <n v="12000"/>
  </r>
  <r>
    <x v="0"/>
    <n v="3613"/>
    <n v="2132"/>
    <n v="12000"/>
    <s v="pronájem prodejny Trnava"/>
    <m/>
    <x v="15"/>
    <s v="2132 - Přijmy z pronájmu ost. nem. věcí a jejich částí_x000a_"/>
    <x v="37"/>
    <n v="12000"/>
  </r>
  <r>
    <x v="0"/>
    <n v="3613"/>
    <n v="2132"/>
    <n v="18000"/>
    <s v="pronájem Hruška"/>
    <m/>
    <x v="15"/>
    <s v="2132 - Přijmy z pronájmu ost. nem. věcí a jejich částí_x000a_"/>
    <x v="37"/>
    <n v="18000"/>
  </r>
  <r>
    <x v="1"/>
    <n v="3314"/>
    <n v="5021"/>
    <n v="36000"/>
    <s v="Mzda Knihovnice"/>
    <n v="3000"/>
    <x v="16"/>
    <s v="5021 - Ostatní osobní výdaje_x000a_"/>
    <x v="38"/>
    <n v="-36000"/>
  </r>
  <r>
    <x v="1"/>
    <n v="3314"/>
    <n v="5136"/>
    <n v="8000"/>
    <s v="Obecní knihovna - nákup nových knih + předplatné"/>
    <m/>
    <x v="16"/>
    <s v="5136 - Knihy, učební pomůcky a tisk_x000a_"/>
    <x v="39"/>
    <n v="-8000"/>
  </r>
  <r>
    <x v="1"/>
    <n v="3314"/>
    <n v="5139"/>
    <n v="2000"/>
    <s v="Obecní knihovna - spotřební materiál"/>
    <m/>
    <x v="16"/>
    <s v="5139 - Nákup materiálu j.n._x000a_"/>
    <x v="40"/>
    <n v="-2000"/>
  </r>
  <r>
    <x v="1"/>
    <n v="3314"/>
    <n v="5168"/>
    <n v="1500"/>
    <s v="Obecní knihovna - knihovnický program"/>
    <m/>
    <x v="16"/>
    <s v="5168 - Zpracování dat a služby souv. s inf. a kom.technol_x000a_"/>
    <x v="41"/>
    <n v="-1500"/>
  </r>
  <r>
    <x v="1"/>
    <n v="3314"/>
    <n v="5339"/>
    <n v="8000"/>
    <s v="Obecní knihovna - příspěvek KÚ "/>
    <m/>
    <x v="16"/>
    <s v="5339 - Neinvestiční transféry cizím PO"/>
    <x v="42"/>
    <n v="-8000"/>
  </r>
  <r>
    <x v="1"/>
    <n v="3319"/>
    <n v="5139"/>
    <n v="75000"/>
    <s v="Kulturní výbor akce"/>
    <m/>
    <x v="10"/>
    <s v="5139 - Nákup materiálu j.n._x000a_"/>
    <x v="25"/>
    <n v="-75000"/>
  </r>
  <r>
    <x v="1"/>
    <n v="3319"/>
    <n v="5139"/>
    <n v="3000"/>
    <s v="SDH Boharyně - Rozloučení s prázdninami"/>
    <m/>
    <x v="10"/>
    <s v="5139 - Nákup materiálu j.n._x000a_"/>
    <x v="25"/>
    <n v="-3000"/>
  </r>
  <r>
    <x v="1"/>
    <n v="3319"/>
    <n v="5139"/>
    <n v="3000"/>
    <s v="SDH Boharyně - Rybářské závody"/>
    <m/>
    <x v="10"/>
    <s v="5139 - Nákup materiálu j.n._x000a_"/>
    <x v="25"/>
    <n v="-3000"/>
  </r>
  <r>
    <x v="1"/>
    <n v="3399"/>
    <n v="5175"/>
    <n v="10800"/>
    <s v="Kulturní  akce - obec - Setkání jubilantů"/>
    <m/>
    <x v="17"/>
    <s v="5175 - Pohoštění_x000a_"/>
    <x v="43"/>
    <n v="-10800"/>
  </r>
  <r>
    <x v="1"/>
    <n v="3319"/>
    <n v="5139"/>
    <n v="5000"/>
    <s v="SDH Trnava - sportovní a kulturní akce (ceny)"/>
    <m/>
    <x v="10"/>
    <s v="5139 - Nákup materiálu j.n._x000a_"/>
    <x v="25"/>
    <n v="-5000"/>
  </r>
  <r>
    <x v="1"/>
    <n v="3421"/>
    <n v="6121"/>
    <n v="100000"/>
    <s v="Obec Zvíkov, Budín - vybavení dětského hřiště (doplnění herních prvků)"/>
    <m/>
    <x v="18"/>
    <s v="6121 - Budovy, haly a stavby_x000a_"/>
    <x v="44"/>
    <n v="-100000"/>
  </r>
  <r>
    <x v="1"/>
    <n v="3319"/>
    <n v="5139"/>
    <n v="5000"/>
    <s v="SDH Zvíkov - sportovní akce"/>
    <m/>
    <x v="10"/>
    <s v="5139 - Nákup materiálu j.n._x000a_"/>
    <x v="25"/>
    <n v="-5000"/>
  </r>
  <r>
    <x v="1"/>
    <n v="3319"/>
    <n v="5139"/>
    <n v="25000"/>
    <s v="kulturní akce pro seniory (besedy, prevence apod.)"/>
    <m/>
    <x v="10"/>
    <s v="5139 - Nákup materiálu j.n._x000a_"/>
    <x v="25"/>
    <n v="-25000"/>
  </r>
  <r>
    <x v="1"/>
    <n v="3319"/>
    <n v="5169"/>
    <n v="15000"/>
    <s v="Kulturní  akce - obec - Setkání seniorů"/>
    <m/>
    <x v="10"/>
    <s v="5169 - Nákup ostatních služeb_x000a_"/>
    <x v="45"/>
    <n v="-15000"/>
  </r>
  <r>
    <x v="1"/>
    <n v="3319"/>
    <n v="5169"/>
    <n v="15000"/>
    <s v="obecní zpravodaj"/>
    <m/>
    <x v="10"/>
    <s v="5169 - Nákup ostatních služeb_x000a_"/>
    <x v="45"/>
    <n v="-15000"/>
  </r>
  <r>
    <x v="1"/>
    <n v="3319"/>
    <n v="5222"/>
    <n v="10000"/>
    <s v="JK Boharyně - startovné, ustájení koní, Hubertova jízda"/>
    <m/>
    <x v="10"/>
    <s v="5222 - Neinvestiční transfery spolkům_x000a_"/>
    <x v="46"/>
    <n v="-10000"/>
  </r>
  <r>
    <x v="1"/>
    <n v="3319"/>
    <n v="5229"/>
    <n v="10000"/>
    <s v="finanční dar charita"/>
    <m/>
    <x v="10"/>
    <s v="5229 - Ostatní neinv.transfery nezisk.a podob.organizacím_x000a_"/>
    <x v="47"/>
    <n v="-10000"/>
  </r>
  <r>
    <x v="1"/>
    <n v="3399"/>
    <n v="5194"/>
    <n v="10000"/>
    <s v="věcné dary občánci"/>
    <m/>
    <x v="17"/>
    <s v="5194 - Věcné dary_x000a_"/>
    <x v="48"/>
    <n v="-10000"/>
  </r>
  <r>
    <x v="1"/>
    <n v="3399"/>
    <n v="5194"/>
    <n v="22200"/>
    <s v="Věcný dar Jubilanti"/>
    <m/>
    <x v="17"/>
    <s v="5194 - Věcné dary_x000a_"/>
    <x v="48"/>
    <n v="-22200"/>
  </r>
  <r>
    <x v="1"/>
    <n v="3419"/>
    <n v="5139"/>
    <n v="10000"/>
    <s v="TJ Boharyně - sportovní kroužek pro děti"/>
    <m/>
    <x v="19"/>
    <s v="5139 - Nákup materiálu j.n._x000a_"/>
    <x v="49"/>
    <n v="-10000"/>
  </r>
  <r>
    <x v="1"/>
    <n v="3419"/>
    <n v="5222"/>
    <n v="135000"/>
    <s v="TJ Boharyně - údržba sportovního arealu - oprava sekačky, mzdy"/>
    <m/>
    <x v="19"/>
    <s v="5222 - Neinvestiční transfery spolkům_x000a_"/>
    <x v="50"/>
    <n v="-135000"/>
  </r>
  <r>
    <x v="1"/>
    <n v="3421"/>
    <n v="5171"/>
    <n v="20000"/>
    <s v="revize + oprava dětské hřiště"/>
    <m/>
    <x v="18"/>
    <s v="5171 - Opravy a udržování_x000a_"/>
    <x v="51"/>
    <n v="-20000"/>
  </r>
  <r>
    <x v="1"/>
    <n v="3421"/>
    <n v="5171"/>
    <n v="15000"/>
    <s v="Obec Trnava - oprava hracích prvků"/>
    <m/>
    <x v="18"/>
    <s v="5171 - Opravy a udržování_x000a_"/>
    <x v="51"/>
    <n v="-15000"/>
  </r>
  <r>
    <x v="1"/>
    <n v="2321"/>
    <n v="5154"/>
    <n v="250000"/>
    <s v="energie &quot;rezerva&quot;"/>
    <m/>
    <x v="11"/>
    <s v="5154 - Elektrická energie_x000a_"/>
    <x v="31"/>
    <n v="-250000"/>
  </r>
  <r>
    <x v="1"/>
    <n v="3613"/>
    <n v="5021"/>
    <n v="7920"/>
    <s v="Mzda Brettová"/>
    <n v="660"/>
    <x v="15"/>
    <s v="5021 - Ostatní osobní výdaje_x000a_"/>
    <x v="52"/>
    <n v="-7920"/>
  </r>
  <r>
    <x v="1"/>
    <n v="3613"/>
    <n v="5021"/>
    <n v="7920"/>
    <s v="Mzda Samková"/>
    <n v="660"/>
    <x v="15"/>
    <s v="5021 - Ostatní osobní výdaje_x000a_"/>
    <x v="52"/>
    <n v="-7920"/>
  </r>
  <r>
    <x v="1"/>
    <n v="3613"/>
    <n v="5021"/>
    <n v="7920"/>
    <s v="Mzda Vítková"/>
    <n v="660"/>
    <x v="15"/>
    <s v="5021 - Ostatní osobní výdaje_x000a_"/>
    <x v="52"/>
    <n v="-7920"/>
  </r>
  <r>
    <x v="1"/>
    <n v="3613"/>
    <n v="5137"/>
    <n v="2000"/>
    <s v="stejné jako v roce 2022"/>
    <m/>
    <x v="15"/>
    <s v="5137 - Drobný dlouhodobý hmotný majetek_x000a_"/>
    <x v="53"/>
    <n v="-2000"/>
  </r>
  <r>
    <x v="1"/>
    <n v="3613"/>
    <n v="5151"/>
    <n v="3840"/>
    <s v="záloha voda Boharyně 26"/>
    <n v="960"/>
    <x v="15"/>
    <s v="5151 - Studená voda_x000a_"/>
    <x v="54"/>
    <n v="-3840"/>
  </r>
  <r>
    <x v="1"/>
    <n v="3613"/>
    <n v="5151"/>
    <n v="7200"/>
    <s v="záloha voda TJ + stánek"/>
    <n v="1800"/>
    <x v="15"/>
    <s v="5151 - Studená voda_x000a_"/>
    <x v="54"/>
    <n v="-7200"/>
  </r>
  <r>
    <x v="1"/>
    <n v="3613"/>
    <n v="5154"/>
    <n v="28440"/>
    <s v="zálohy Zvíkov EE - obecní domek"/>
    <n v="2370"/>
    <x v="15"/>
    <s v="5154 - Elektrická energie_x000a_"/>
    <x v="55"/>
    <n v="-28440"/>
  </r>
  <r>
    <x v="1"/>
    <n v="3613"/>
    <n v="5154"/>
    <n v="4320"/>
    <s v="zálohy Trnava EE - čekárna"/>
    <n v="360"/>
    <x v="15"/>
    <s v="5154 - Elektrická energie_x000a_"/>
    <x v="55"/>
    <n v="-4320"/>
  </r>
  <r>
    <x v="1"/>
    <n v="3613"/>
    <n v="5154"/>
    <n v="30600"/>
    <s v="zálohy Boharyně EE - mlýn"/>
    <n v="2550"/>
    <x v="15"/>
    <s v="5154 - Elektrická energie_x000a_"/>
    <x v="55"/>
    <n v="-30600"/>
  </r>
  <r>
    <x v="1"/>
    <n v="3613"/>
    <n v="5154"/>
    <n v="35640"/>
    <s v="zálohy Trnava EE - kulturní zařízení"/>
    <n v="2970"/>
    <x v="15"/>
    <s v="5154 - Elektrická energie_x000a_"/>
    <x v="55"/>
    <n v="-35640"/>
  </r>
  <r>
    <x v="1"/>
    <n v="3613"/>
    <n v="5154"/>
    <n v="49320"/>
    <s v="záloha EE - stánek"/>
    <n v="4110"/>
    <x v="15"/>
    <s v="5154 - Elektrická energie_x000a_"/>
    <x v="55"/>
    <n v="-49320"/>
  </r>
  <r>
    <x v="1"/>
    <n v="3613"/>
    <n v="5169"/>
    <n v="5000"/>
    <s v="stejné jako v roce 2022"/>
    <m/>
    <x v="15"/>
    <s v="5169 - Nákup ostatních služeb_x000a_"/>
    <x v="56"/>
    <n v="-5000"/>
  </r>
  <r>
    <x v="1"/>
    <n v="3613"/>
    <n v="5171"/>
    <n v="250000"/>
    <s v="opravy &quot;rezerva&quot;"/>
    <m/>
    <x v="15"/>
    <s v="5171 - Opravy a udržování_x000a_"/>
    <x v="57"/>
    <n v="-250000"/>
  </r>
  <r>
    <x v="1"/>
    <n v="3613"/>
    <n v="6121"/>
    <n v="400000"/>
    <s v="Obec Trnava - sklad hasičské techniky"/>
    <m/>
    <x v="15"/>
    <s v="6121 - Budovy, haly a stavby_x000a_"/>
    <x v="58"/>
    <n v="-400000"/>
  </r>
  <r>
    <x v="1"/>
    <n v="3631"/>
    <n v="5154"/>
    <n v="86900.4"/>
    <s v="zálohy Zvíkov EE - VO"/>
    <n v="7170"/>
    <x v="20"/>
    <s v="5154 - Elektrická energie_x000a_"/>
    <x v="59"/>
    <n v="-86900.4"/>
  </r>
  <r>
    <x v="0"/>
    <n v="3639"/>
    <n v="2131"/>
    <n v="1"/>
    <s v="Pachtovné rybník Zvíkov"/>
    <m/>
    <x v="4"/>
    <s v="2131 - Příjmy z pronájmu pozemků_x000a_"/>
    <x v="17"/>
    <n v="1"/>
  </r>
  <r>
    <x v="1"/>
    <n v="3631"/>
    <n v="5154"/>
    <n v="81446.399999999994"/>
    <s v="zálohy Trnava EE - VO"/>
    <n v="6720"/>
    <x v="20"/>
    <s v="5154 - Elektrická energie_x000a_"/>
    <x v="59"/>
    <n v="-81446.399999999994"/>
  </r>
  <r>
    <x v="1"/>
    <n v="3631"/>
    <n v="5154"/>
    <n v="106171.2"/>
    <s v="zálohy Boharyně EE - VO"/>
    <n v="8760"/>
    <x v="20"/>
    <s v="5154 - Elektrická energie_x000a_"/>
    <x v="59"/>
    <n v="-106171.2"/>
  </r>
  <r>
    <x v="1"/>
    <n v="3631"/>
    <n v="5171"/>
    <n v="100000"/>
    <s v="opravyzdražení"/>
    <m/>
    <x v="20"/>
    <s v="5171 - Opravy a udržování_x000a_"/>
    <x v="60"/>
    <n v="-100000"/>
  </r>
  <r>
    <x v="1"/>
    <n v="3632"/>
    <n v="5139"/>
    <n v="2000"/>
    <s v="stejné jako v roce 2022"/>
    <m/>
    <x v="21"/>
    <s v="5139 - Nákup materiálu j.n._x000a_"/>
    <x v="61"/>
    <n v="-2000"/>
  </r>
  <r>
    <x v="1"/>
    <n v="3632"/>
    <n v="5171"/>
    <n v="10000"/>
    <s v="stejné jako v roce 2022"/>
    <m/>
    <x v="21"/>
    <s v="5171 - Opravy a udržování_x000a_"/>
    <x v="62"/>
    <n v="-10000"/>
  </r>
  <r>
    <x v="1"/>
    <n v="3721"/>
    <n v="5169"/>
    <n v="18000"/>
    <s v="stejné jako v roce 2022"/>
    <m/>
    <x v="22"/>
    <s v="5169 - Nákup ostatních služeb_x000a_"/>
    <x v="63"/>
    <n v="-18000"/>
  </r>
  <r>
    <x v="1"/>
    <n v="3722"/>
    <n v="5169"/>
    <n v="971199.99999999988"/>
    <s v="nárůst o 20%"/>
    <m/>
    <x v="23"/>
    <s v="5169 - Nákup ostatních služeb_x000a_"/>
    <x v="64"/>
    <n v="-971199.99999999988"/>
  </r>
  <r>
    <x v="1"/>
    <n v="3745"/>
    <n v="5021"/>
    <n v="20000"/>
    <s v="stejné jako v roce 2022 - DPP"/>
    <m/>
    <x v="24"/>
    <s v="5021 - Ostatní osobní výdaje_x000a_"/>
    <x v="65"/>
    <n v="-20000"/>
  </r>
  <r>
    <x v="1"/>
    <n v="3745"/>
    <n v="5139"/>
    <n v="12000"/>
    <s v="materiál na opravy (VLASTA)"/>
    <m/>
    <x v="24"/>
    <s v="5139 - Nákup materiálu j.n._x000a_"/>
    <x v="66"/>
    <n v="-12000"/>
  </r>
  <r>
    <x v="1"/>
    <n v="3745"/>
    <n v="5139"/>
    <n v="30000"/>
    <s v="nákup stromků Boharyně a Homyle"/>
    <m/>
    <x v="24"/>
    <s v="5139 - Nákup materiálu j.n._x000a_"/>
    <x v="66"/>
    <n v="-30000"/>
  </r>
  <r>
    <x v="1"/>
    <n v="3745"/>
    <n v="5156"/>
    <n v="40000"/>
    <s v="stejné jako v roce 2022"/>
    <m/>
    <x v="24"/>
    <s v="5156 - Pohonné hmoty a maziva_x000a_"/>
    <x v="67"/>
    <n v="-40000"/>
  </r>
  <r>
    <x v="1"/>
    <n v="3745"/>
    <n v="5163"/>
    <n v="23000"/>
    <s v="stejné jako v roce 2022 pojištění strojů"/>
    <m/>
    <x v="24"/>
    <s v="5163 - Služby peněžních ústavů_x000a_"/>
    <x v="68"/>
    <n v="-23000"/>
  </r>
  <r>
    <x v="1"/>
    <n v="3745"/>
    <n v="5169"/>
    <n v="50000"/>
    <s v="kdyby náhodou - FA od SDH, popř. rezerva"/>
    <m/>
    <x v="24"/>
    <s v="5169 - Nákup ostatních služeb_x000a_"/>
    <x v="69"/>
    <n v="-50000"/>
  </r>
  <r>
    <x v="1"/>
    <n v="3745"/>
    <n v="5329"/>
    <n v="60000"/>
    <s v="stejné jako v roce 2022"/>
    <m/>
    <x v="24"/>
    <s v="5329 - Ostatní neinv.transfery veř.rozp.územní úrovně_x000a_"/>
    <x v="70"/>
    <n v="-60000"/>
  </r>
  <r>
    <x v="1"/>
    <n v="5512"/>
    <n v="5169"/>
    <n v="3000"/>
    <s v="SDH Boharyně - lékařské prohlídky"/>
    <m/>
    <x v="25"/>
    <s v="5169 - Nákup ostatních služeb_x000a_"/>
    <x v="71"/>
    <n v="-3000"/>
  </r>
  <r>
    <x v="1"/>
    <n v="5512"/>
    <n v="5171"/>
    <n v="5000"/>
    <s v="SDH Boharyně - Oprava a údržba techniky"/>
    <m/>
    <x v="25"/>
    <s v="5171 - Opravy a udržování_x000a_"/>
    <x v="72"/>
    <n v="-5000"/>
  </r>
  <r>
    <x v="1"/>
    <n v="5512"/>
    <n v="5156"/>
    <n v="3000"/>
    <s v="SDH Boharyně - Pohonné hmoty"/>
    <m/>
    <x v="25"/>
    <s v="5156 - Pohonné hmoty a maziva_x000a_"/>
    <x v="73"/>
    <n v="-3000"/>
  </r>
  <r>
    <x v="1"/>
    <n v="3631"/>
    <n v="5154"/>
    <n v="163620"/>
    <s v="záloha Homyle EE - VO"/>
    <n v="13500"/>
    <x v="20"/>
    <s v="5154 - Elektrická energie_x000a_"/>
    <x v="59"/>
    <n v="-163620"/>
  </r>
  <r>
    <x v="1"/>
    <n v="5512"/>
    <n v="5167"/>
    <n v="5000"/>
    <s v="SDH Boharyně - školení"/>
    <m/>
    <x v="25"/>
    <s v="5167 - Služby školení a vzdělávání_x000a_"/>
    <x v="74"/>
    <n v="-5000"/>
  </r>
  <r>
    <x v="1"/>
    <n v="5512"/>
    <n v="5169"/>
    <n v="3000"/>
    <s v="SDH Boharyně - Technické prohlídky"/>
    <m/>
    <x v="25"/>
    <s v="5169 - Nákup ostatních služeb_x000a_"/>
    <x v="71"/>
    <n v="-3000"/>
  </r>
  <r>
    <x v="1"/>
    <n v="5512"/>
    <n v="5171"/>
    <n v="4000"/>
    <s v="SDH Trnava - oprava a údržba techniky"/>
    <m/>
    <x v="25"/>
    <s v="5171 - Opravy a udržování_x000a_"/>
    <x v="72"/>
    <n v="-4000"/>
  </r>
  <r>
    <x v="1"/>
    <n v="5512"/>
    <n v="5156"/>
    <n v="3000"/>
    <s v="SDH Trnava - pohonné hmoty"/>
    <m/>
    <x v="25"/>
    <s v="5156 - Pohonné hmoty a maziva_x000a_"/>
    <x v="73"/>
    <n v="-3000"/>
  </r>
  <r>
    <x v="1"/>
    <n v="5512"/>
    <n v="5139"/>
    <n v="7000"/>
    <s v="SDH Trnava - trika, obnova materiálu"/>
    <m/>
    <x v="25"/>
    <s v="5139 - Nákup materiálu j.n._x000a_"/>
    <x v="75"/>
    <n v="-7000"/>
  </r>
  <r>
    <x v="1"/>
    <n v="5512"/>
    <n v="5171"/>
    <n v="3000"/>
    <s v="SDH Zvíkov - opravy a údržba"/>
    <m/>
    <x v="25"/>
    <s v="5171 - Opravy a udržování_x000a_"/>
    <x v="72"/>
    <n v="-3000"/>
  </r>
  <r>
    <x v="1"/>
    <n v="5512"/>
    <n v="5156"/>
    <n v="3000"/>
    <s v="SDH Zvíkov - pohonné hmoty"/>
    <m/>
    <x v="25"/>
    <s v="5156 - Pohonné hmoty a maziva_x000a_"/>
    <x v="73"/>
    <n v="-3000"/>
  </r>
  <r>
    <x v="1"/>
    <n v="5512"/>
    <n v="5153"/>
    <n v="36000"/>
    <s v="záloha plyn SDH"/>
    <n v="3000"/>
    <x v="25"/>
    <s v="5153 - Plyn_x000a_"/>
    <x v="76"/>
    <n v="-36000"/>
  </r>
  <r>
    <x v="1"/>
    <n v="5512"/>
    <n v="5151"/>
    <n v="2480"/>
    <s v="záloha voda SDH"/>
    <n v="620"/>
    <x v="25"/>
    <s v="5151 - Studená voda_x000a_"/>
    <x v="77"/>
    <n v="-2480"/>
  </r>
  <r>
    <x v="1"/>
    <n v="5512"/>
    <n v="5154"/>
    <n v="35280"/>
    <s v="zálohy Boharyně EE - SDH"/>
    <n v="2940"/>
    <x v="25"/>
    <s v="5154 - Elektrická energie_x000a_"/>
    <x v="78"/>
    <n v="-35280"/>
  </r>
  <r>
    <x v="1"/>
    <n v="6112"/>
    <n v="5023"/>
    <n v="24000"/>
    <s v="odměny členů výbor"/>
    <m/>
    <x v="26"/>
    <s v="5023 - Odměny členů zastupitelstva obcí a krajů_x000a_"/>
    <x v="79"/>
    <n v="-24000"/>
  </r>
  <r>
    <x v="1"/>
    <n v="6112"/>
    <n v="5023"/>
    <n v="863500"/>
    <s v="Mzdy Zastupitelstvo 2022"/>
    <n v="71951"/>
    <x v="26"/>
    <s v="5023 - Odměny členů zastupitelstva obcí a krajů_x000a_"/>
    <x v="79"/>
    <n v="-863500"/>
  </r>
  <r>
    <x v="1"/>
    <n v="6112"/>
    <n v="5032"/>
    <n v="77800"/>
    <s v="Mzdy Zastupitelstvo 2022 Zdr.poj"/>
    <n v="6475.59"/>
    <x v="26"/>
    <s v="5032 - Povinné poj.na veřejné zdravotní pojištění_x000a_"/>
    <x v="80"/>
    <n v="-77800"/>
  </r>
  <r>
    <x v="1"/>
    <n v="6171"/>
    <n v="5011"/>
    <n v="390000"/>
    <s v="mzda V.T. počítám 13x platů"/>
    <n v="30000"/>
    <x v="7"/>
    <s v="5011 - Platy zaměst. v pr.poměru vyjma zaměst. na služ.m._x000a_"/>
    <x v="81"/>
    <n v="-390000"/>
  </r>
  <r>
    <x v="1"/>
    <n v="6171"/>
    <n v="5021"/>
    <n v="13200"/>
    <s v="DPP čížková úklid oú"/>
    <n v="1100"/>
    <x v="7"/>
    <s v="5021 - Ostatní osobní výdaje_x000a_"/>
    <x v="82"/>
    <n v="-13200"/>
  </r>
  <r>
    <x v="1"/>
    <n v="6171"/>
    <n v="5021"/>
    <n v="45000"/>
    <s v="mzda Aneta počítám že měsíčně udělá 25h"/>
    <n v="3750"/>
    <x v="7"/>
    <s v="5021 - Ostatní osobní výdaje_x000a_"/>
    <x v="82"/>
    <n v="-45000"/>
  </r>
  <r>
    <x v="1"/>
    <n v="6171"/>
    <n v="5031"/>
    <n v="96720"/>
    <s v="sociální V.T. 24,8%"/>
    <n v="7440"/>
    <x v="7"/>
    <s v="5031 - Povinné poj.na soc.zab.a přísp.na st.pol.zaměstnan_x000a_"/>
    <x v="83"/>
    <n v="-96720"/>
  </r>
  <r>
    <x v="1"/>
    <n v="6171"/>
    <n v="5032"/>
    <n v="35100"/>
    <s v="zdravotní V.T. 9%"/>
    <n v="2700"/>
    <x v="7"/>
    <s v="5032 - Povinné poj.na veřejné zdravotní pojištění_x000a_"/>
    <x v="84"/>
    <n v="-35100"/>
  </r>
  <r>
    <x v="1"/>
    <n v="6171"/>
    <n v="5038"/>
    <n v="3000"/>
    <s v="stejné jako v roce 2022"/>
    <m/>
    <x v="7"/>
    <s v="5038 - Povinné pojistné na úrazové pojištění_x000a_"/>
    <x v="85"/>
    <n v="-3000"/>
  </r>
  <r>
    <x v="1"/>
    <n v="6171"/>
    <n v="5134"/>
    <n v="6000"/>
    <s v="stejné jako v roce 2022 - pracovní oděvy VLASTA"/>
    <m/>
    <x v="7"/>
    <s v="5134 - Prádlo, oděv a obuv_x000a_"/>
    <x v="86"/>
    <n v="-6000"/>
  </r>
  <r>
    <x v="1"/>
    <n v="6171"/>
    <n v="5136"/>
    <n v="2000"/>
    <s v="stejné jako v roce 2022"/>
    <m/>
    <x v="7"/>
    <s v="5136 - Knihy, učební pomůcky a tisk_x000a_"/>
    <x v="87"/>
    <n v="-2000"/>
  </r>
  <r>
    <x v="1"/>
    <n v="6171"/>
    <n v="5137"/>
    <n v="5000"/>
    <s v="stejné jako v roce 2022"/>
    <m/>
    <x v="7"/>
    <s v="5137 - Drobný dlouhodobý hmotný majetek_x000a_"/>
    <x v="88"/>
    <n v="-5000"/>
  </r>
  <r>
    <x v="1"/>
    <n v="6171"/>
    <n v="5139"/>
    <n v="25000"/>
    <s v="stejné jako v roce 2022"/>
    <m/>
    <x v="7"/>
    <s v="5139 - Nákup materiálu j.n._x000a_"/>
    <x v="89"/>
    <n v="-25000"/>
  </r>
  <r>
    <x v="1"/>
    <n v="6171"/>
    <n v="5151"/>
    <n v="3040"/>
    <s v="záloha voda Oú"/>
    <n v="760"/>
    <x v="7"/>
    <s v="5151 - Studená voda_x000a_"/>
    <x v="90"/>
    <n v="-3040"/>
  </r>
  <r>
    <x v="1"/>
    <n v="6171"/>
    <n v="5153"/>
    <n v="68400"/>
    <s v="záloha plyn - Oú"/>
    <n v="5700"/>
    <x v="7"/>
    <s v="5153 - Plyn_x000a_"/>
    <x v="91"/>
    <n v="-68400"/>
  </r>
  <r>
    <x v="1"/>
    <n v="5512"/>
    <n v="5154"/>
    <n v="4320"/>
    <s v="zálohy Zvíkov EE - SDH"/>
    <n v="360"/>
    <x v="25"/>
    <s v="5154 - Elektrická energie_x000a_"/>
    <x v="78"/>
    <n v="-4320"/>
  </r>
  <r>
    <x v="1"/>
    <n v="6171"/>
    <n v="5161"/>
    <n v="3000"/>
    <s v="stejné jako v roce 2022"/>
    <m/>
    <x v="7"/>
    <s v="5161 - Poštovní služby_x000a_"/>
    <x v="92"/>
    <n v="-3000"/>
  </r>
  <r>
    <x v="1"/>
    <n v="6171"/>
    <n v="5162"/>
    <n v="21600"/>
    <s v="O2 + VT telefon"/>
    <m/>
    <x v="7"/>
    <s v="5162 - Služby elektronických komunikací_x000a_"/>
    <x v="93"/>
    <n v="-21600"/>
  </r>
  <r>
    <x v="1"/>
    <n v="6171"/>
    <n v="5163"/>
    <n v="32000"/>
    <s v="stejné jako v roce 2022 pojištění"/>
    <m/>
    <x v="7"/>
    <s v="5163 - Služby peněžních ústavů_x000a_"/>
    <x v="94"/>
    <n v="-32000"/>
  </r>
  <r>
    <x v="1"/>
    <n v="6171"/>
    <n v="5164"/>
    <n v="1000"/>
    <s v="stejné jako v roce 2022"/>
    <m/>
    <x v="7"/>
    <s v="5164 - Nájemné"/>
    <x v="95"/>
    <n v="-1000"/>
  </r>
  <r>
    <x v="1"/>
    <n v="6171"/>
    <n v="5167"/>
    <n v="5000"/>
    <s v="stejné jako v roce 2022"/>
    <m/>
    <x v="7"/>
    <s v="5167 - Služby školení a vzdělávání_x000a_"/>
    <x v="96"/>
    <n v="-5000"/>
  </r>
  <r>
    <x v="1"/>
    <n v="6171"/>
    <n v="5168"/>
    <n v="56000"/>
    <s v="stejné jako v roce 2022"/>
    <m/>
    <x v="7"/>
    <s v="5168 - Zpracování dat a služby souv. s inf. a kom.technol_x000a_"/>
    <x v="97"/>
    <n v="-56000"/>
  </r>
  <r>
    <x v="1"/>
    <n v="6171"/>
    <n v="5169"/>
    <n v="150000"/>
    <s v="ostatní služby"/>
    <m/>
    <x v="7"/>
    <s v="5169 - Nákup ostatních služeb_x000a_"/>
    <x v="98"/>
    <n v="-150000"/>
  </r>
  <r>
    <x v="1"/>
    <n v="6171"/>
    <n v="5169"/>
    <n v="290400"/>
    <s v="zde jsem Já"/>
    <m/>
    <x v="7"/>
    <s v="5169 - Nákup ostatních služeb_x000a_"/>
    <x v="98"/>
    <n v="-290400"/>
  </r>
  <r>
    <x v="1"/>
    <n v="6171"/>
    <n v="5171"/>
    <n v="100000"/>
    <s v="kdyby náhodou"/>
    <m/>
    <x v="7"/>
    <s v="5171 - Opravy a udržování_x000a_"/>
    <x v="99"/>
    <n v="-100000"/>
  </r>
  <r>
    <x v="1"/>
    <n v="6171"/>
    <n v="5173"/>
    <n v="6000"/>
    <s v="stejné jako v roce 2022"/>
    <m/>
    <x v="7"/>
    <s v="5173 - Cestovné_x000a_"/>
    <x v="100"/>
    <n v="-6000"/>
  </r>
  <r>
    <x v="1"/>
    <n v="6171"/>
    <n v="5175"/>
    <n v="4000"/>
    <s v="stejné jako v roce 2022"/>
    <m/>
    <x v="7"/>
    <s v="5175 - Pohoštění_x000a_"/>
    <x v="101"/>
    <n v="-4000"/>
  </r>
  <r>
    <x v="1"/>
    <n v="6171"/>
    <n v="5179"/>
    <n v="4100"/>
    <s v="členství ve Svazu měst a obcí ČR"/>
    <m/>
    <x v="7"/>
    <s v="5179 - Ostatní nákupy j.n._x000a_"/>
    <x v="102"/>
    <n v="-4100"/>
  </r>
  <r>
    <x v="1"/>
    <n v="6171"/>
    <n v="5321"/>
    <n v="23000"/>
    <s v="stejné jako v roce 2022"/>
    <m/>
    <x v="7"/>
    <s v="5321 - Neinvestiční transfery obcím_x000a_"/>
    <x v="103"/>
    <n v="-23000"/>
  </r>
  <r>
    <x v="1"/>
    <n v="6171"/>
    <n v="5329"/>
    <n v="27000"/>
    <s v="členské příspěvky 2022 MR Nechanicko"/>
    <m/>
    <x v="7"/>
    <s v="5329 - Ostatní neinv.transfery veř.rozp.územní úrovně_x000a_"/>
    <x v="104"/>
    <n v="-27000"/>
  </r>
  <r>
    <x v="1"/>
    <n v="6171"/>
    <n v="5362"/>
    <n v="5000"/>
    <s v="stejné jako v roce 2022"/>
    <m/>
    <x v="7"/>
    <s v="5362 - Platby daní a poplatků státnímu rozpočtu_x000a_"/>
    <x v="105"/>
    <n v="-5000"/>
  </r>
  <r>
    <x v="1"/>
    <n v="6171"/>
    <n v="5499"/>
    <n v="6000"/>
    <s v="P.P V. Tomáš"/>
    <m/>
    <x v="7"/>
    <s v="5499 - Ostatní neinvestiční transfery obyvatelstvu_x000a_"/>
    <x v="106"/>
    <n v="-6000"/>
  </r>
  <r>
    <x v="1"/>
    <n v="6310"/>
    <n v="5163"/>
    <n v="10000"/>
    <s v="stejné jako v roce 2022 bankovní poplatky"/>
    <m/>
    <x v="8"/>
    <s v="5163 - Služby peněžních ústavů_x000a_"/>
    <x v="107"/>
    <n v="-10000"/>
  </r>
  <r>
    <x v="1"/>
    <n v="6399"/>
    <n v="5362"/>
    <n v="100000"/>
    <s v="DPH"/>
    <m/>
    <x v="27"/>
    <s v="5362 - Platby daní a poplatků státnímu rozpočtu_x000a_"/>
    <x v="108"/>
    <n v="-100000"/>
  </r>
  <r>
    <x v="1"/>
    <n v="6399"/>
    <n v="5365"/>
    <n v="500000"/>
    <s v="Obec DP 2022"/>
    <m/>
    <x v="27"/>
    <s v="5365 - Platby daní a poplatků krajům, obcím a st.fondům_x000a_"/>
    <x v="109"/>
    <n v="-500000"/>
  </r>
  <r>
    <x v="1"/>
    <n v="6402"/>
    <n v="5364"/>
    <n v="48119.62"/>
    <s v="vratka volby 2022"/>
    <m/>
    <x v="28"/>
    <s v="5364 - Vratky transferů poskytnutých z veřejných rozpočtů_x000a_"/>
    <x v="110"/>
    <n v="-48119.62"/>
  </r>
  <r>
    <x v="2"/>
    <m/>
    <n v="8124"/>
    <n v="1000000"/>
    <s v="splátky úvěru výši přesně nevím ???"/>
    <m/>
    <x v="0"/>
    <s v="8124 - Splátka úvěru"/>
    <x v="111"/>
    <n v="-1000000"/>
  </r>
  <r>
    <x v="1"/>
    <n v="6171"/>
    <n v="5154"/>
    <n v="51840"/>
    <s v="zálohy Boharyně EE - Oú"/>
    <n v="4320"/>
    <x v="7"/>
    <s v="5154 - Elektrická energie_x000a_"/>
    <x v="112"/>
    <n v="-51840"/>
  </r>
  <r>
    <x v="1"/>
    <n v="2219"/>
    <n v="6121"/>
    <n v="150000"/>
    <s v="zastávka Boharyně"/>
    <m/>
    <x v="9"/>
    <s v="6121 - Budovy, haly a stavby_x000a_"/>
    <x v="27"/>
    <n v="-150000"/>
  </r>
  <r>
    <x v="1"/>
    <n v="3319"/>
    <n v="5499"/>
    <n v="20000"/>
    <s v="Český zahrádkářský svaz  Boharyně - Příspěvek na zájezdy "/>
    <m/>
    <x v="10"/>
    <s v="5499 - Ostatní neinvestiční transfery obyvatelstvu_x000a_"/>
    <x v="113"/>
    <n v="-20000"/>
  </r>
  <r>
    <x v="1"/>
    <n v="3631"/>
    <n v="6121"/>
    <n v="100000"/>
    <s v="projekt na nové veřejné osvětlení v Trnavě (příprava pro_x000a_dotaci)"/>
    <m/>
    <x v="20"/>
    <s v="6121 - Budovy, haly a stavby_x000a_"/>
    <x v="114"/>
    <n v="-100000"/>
  </r>
  <r>
    <x v="1"/>
    <n v="3314"/>
    <n v="5339"/>
    <n v="7000"/>
    <s v="Ještě bude něco do Nechanic"/>
    <m/>
    <x v="16"/>
    <s v="5339 - Neinvestiční transféry cizím PO"/>
    <x v="42"/>
    <n v="-7000"/>
  </r>
  <r>
    <x v="1"/>
    <n v="2219"/>
    <n v="5171"/>
    <n v="60000"/>
    <s v="Zvíkově na zpevněné plochy u hřbitova"/>
    <m/>
    <x v="9"/>
    <s v="5171 - Opravy a udržování_x000a_"/>
    <x v="26"/>
    <n v="-60000"/>
  </r>
  <r>
    <x v="1"/>
    <n v="5213"/>
    <n v="5903"/>
    <n v="200000"/>
    <s v="rezervní fond &quot;krize&quot;"/>
    <m/>
    <x v="29"/>
    <s v="5903 - Rezerva na krizová opatření_x000a_"/>
    <x v="115"/>
    <n v="-2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DD8ECD-5DAD-4FC6-A7D5-1F377612B8CB}" name="Kontingenční tabulka1" cacheId="5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outline="1" outlineData="1" multipleFieldFilters="0" fieldListSortAscending="1">
  <location ref="A3:B55" firstHeaderRow="1" firstDataRow="1" firstDataCol="1"/>
  <pivotFields count="10">
    <pivotField axis="axisRow" showAll="0" sortType="ascending">
      <items count="8">
        <item x="0"/>
        <item x="1"/>
        <item x="2"/>
        <item m="1" x="6"/>
        <item m="1" x="3"/>
        <item m="1" x="5"/>
        <item m="1" x="4"/>
        <item t="default"/>
      </items>
    </pivotField>
    <pivotField showAll="0" sortType="ascending"/>
    <pivotField showAll="0" sortType="ascending"/>
    <pivotField showAll="0"/>
    <pivotField showAll="0"/>
    <pivotField showAll="0"/>
    <pivotField axis="axisRow" showAll="0" sortType="ascending">
      <items count="35">
        <item x="0"/>
        <item sd="0" x="1"/>
        <item sd="0" x="5"/>
        <item sd="0" x="9"/>
        <item sd="0" x="12"/>
        <item sd="0" x="11"/>
        <item sd="0" x="13"/>
        <item sd="0" x="14"/>
        <item sd="0" x="3"/>
        <item sd="0" x="16"/>
        <item sd="0" x="10"/>
        <item sd="0" m="1" x="33"/>
        <item sd="0" m="1" x="31"/>
        <item sd="0" x="17"/>
        <item sd="0" x="19"/>
        <item sd="0" x="18"/>
        <item sd="0" x="2"/>
        <item sd="0" x="15"/>
        <item sd="0" x="20"/>
        <item sd="0" x="21"/>
        <item sd="0" x="4"/>
        <item sd="0" x="22"/>
        <item sd="0" x="23"/>
        <item sd="0" x="6"/>
        <item sd="0" x="24"/>
        <item sd="0" x="29"/>
        <item sd="0" x="25"/>
        <item sd="0" x="26"/>
        <item sd="0" x="7"/>
        <item sd="0" x="8"/>
        <item sd="0" x="27"/>
        <item sd="0" x="28"/>
        <item sd="0" m="1" x="32"/>
        <item sd="0" m="1" x="30"/>
        <item t="default" sd="0"/>
      </items>
    </pivotField>
    <pivotField showAll="0"/>
    <pivotField axis="axisRow" showAll="0">
      <items count="161">
        <item m="1" x="133"/>
        <item m="1" x="146"/>
        <item m="1" x="121"/>
        <item m="1" x="141"/>
        <item m="1" x="157"/>
        <item m="1" x="118"/>
        <item m="1" x="127"/>
        <item m="1" x="125"/>
        <item m="1" x="137"/>
        <item m="1" x="142"/>
        <item m="1" x="130"/>
        <item m="1" x="139"/>
        <item x="11"/>
        <item x="22"/>
        <item x="23"/>
        <item x="18"/>
        <item x="26"/>
        <item x="27"/>
        <item x="29"/>
        <item m="1" x="159"/>
        <item x="31"/>
        <item x="32"/>
        <item m="1" x="126"/>
        <item m="1" x="144"/>
        <item x="34"/>
        <item x="35"/>
        <item m="1" x="138"/>
        <item x="13"/>
        <item x="14"/>
        <item x="15"/>
        <item x="16"/>
        <item x="38"/>
        <item x="39"/>
        <item x="40"/>
        <item x="41"/>
        <item x="42"/>
        <item m="1" x="123"/>
        <item m="1" x="135"/>
        <item m="1" x="143"/>
        <item m="1" x="145"/>
        <item m="1" x="134"/>
        <item x="43"/>
        <item x="48"/>
        <item m="1" x="124"/>
        <item m="1" x="151"/>
        <item x="50"/>
        <item m="1" x="147"/>
        <item m="1" x="132"/>
        <item x="12"/>
        <item m="1" x="150"/>
        <item m="1" x="152"/>
        <item x="36"/>
        <item x="37"/>
        <item x="52"/>
        <item x="53"/>
        <item x="54"/>
        <item x="55"/>
        <item x="56"/>
        <item x="57"/>
        <item x="58"/>
        <item m="1" x="136"/>
        <item x="59"/>
        <item x="60"/>
        <item x="61"/>
        <item x="62"/>
        <item x="17"/>
        <item x="63"/>
        <item x="64"/>
        <item x="19"/>
        <item x="65"/>
        <item m="1" x="140"/>
        <item x="66"/>
        <item x="67"/>
        <item x="68"/>
        <item x="69"/>
        <item x="70"/>
        <item x="115"/>
        <item m="1" x="153"/>
        <item x="77"/>
        <item x="76"/>
        <item x="78"/>
        <item x="73"/>
        <item x="74"/>
        <item x="71"/>
        <item x="72"/>
        <item x="79"/>
        <item x="80"/>
        <item x="20"/>
        <item x="81"/>
        <item x="82"/>
        <item x="83"/>
        <item x="84"/>
        <item x="85"/>
        <item x="87"/>
        <item x="88"/>
        <item x="89"/>
        <item x="90"/>
        <item x="91"/>
        <item x="112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17"/>
        <item x="21"/>
        <item x="107"/>
        <item x="109"/>
        <item x="110"/>
        <item x="0"/>
        <item x="1"/>
        <item x="2"/>
        <item x="3"/>
        <item x="4"/>
        <item x="5"/>
        <item m="1" x="119"/>
        <item x="7"/>
        <item x="8"/>
        <item x="9"/>
        <item m="1" x="149"/>
        <item x="10"/>
        <item m="1" x="120"/>
        <item x="24"/>
        <item x="33"/>
        <item x="25"/>
        <item x="113"/>
        <item x="46"/>
        <item x="45"/>
        <item m="1" x="129"/>
        <item x="49"/>
        <item x="51"/>
        <item m="1" x="131"/>
        <item m="1" x="148"/>
        <item m="1" x="155"/>
        <item m="1" x="122"/>
        <item x="75"/>
        <item m="1" x="128"/>
        <item m="1" x="158"/>
        <item x="47"/>
        <item m="1" x="156"/>
        <item m="1" x="154"/>
        <item m="1" x="116"/>
        <item x="28"/>
        <item x="86"/>
        <item x="30"/>
        <item x="108"/>
        <item x="6"/>
        <item x="111"/>
        <item x="44"/>
        <item x="114"/>
        <item t="default"/>
      </items>
    </pivotField>
    <pivotField dataField="1" showAll="0"/>
  </pivotFields>
  <rowFields count="3">
    <field x="0"/>
    <field x="6"/>
    <field x="8"/>
  </rowFields>
  <rowItems count="52">
    <i>
      <x/>
    </i>
    <i r="1">
      <x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6"/>
    </i>
    <i r="2">
      <x v="127"/>
    </i>
    <i r="2">
      <x v="128"/>
    </i>
    <i r="2">
      <x v="130"/>
    </i>
    <i r="2">
      <x v="156"/>
    </i>
    <i r="1">
      <x v="1"/>
    </i>
    <i r="1">
      <x v="5"/>
    </i>
    <i r="1">
      <x v="16"/>
    </i>
    <i r="1">
      <x v="17"/>
    </i>
    <i r="1">
      <x v="20"/>
    </i>
    <i r="1">
      <x v="23"/>
    </i>
    <i r="1">
      <x v="28"/>
    </i>
    <i r="1">
      <x v="29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2"/>
    </i>
    <i r="1">
      <x/>
    </i>
    <i r="2">
      <x v="157"/>
    </i>
    <i t="grand">
      <x/>
    </i>
  </rowItems>
  <colItems count="1">
    <i/>
  </colItems>
  <dataFields count="1">
    <dataField name="Součet z rozpočet hodnoty" fld="9" baseField="0" baseItem="0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8D2D9-EAC0-41F1-B596-05350D29954B}" name="Kontingenční tabulka1" cacheId="5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outline="1" outlineData="1" multipleFieldFilters="0" fieldListSortAscending="1">
  <location ref="A3:B159" firstHeaderRow="1" firstDataRow="1" firstDataCol="1"/>
  <pivotFields count="10">
    <pivotField axis="axisRow" showAll="0" sortType="ascending">
      <items count="8">
        <item x="0"/>
        <item x="1"/>
        <item x="2"/>
        <item m="1" x="6"/>
        <item m="1" x="3"/>
        <item m="1" x="5"/>
        <item m="1" x="4"/>
        <item t="default"/>
      </items>
    </pivotField>
    <pivotField showAll="0" sortType="ascending"/>
    <pivotField showAll="0" sortType="ascending"/>
    <pivotField showAll="0"/>
    <pivotField showAll="0"/>
    <pivotField showAll="0"/>
    <pivotField axis="axisRow" showAll="0" sortType="ascending">
      <items count="35">
        <item x="0"/>
        <item x="1"/>
        <item x="5"/>
        <item x="9"/>
        <item x="12"/>
        <item x="11"/>
        <item x="13"/>
        <item x="14"/>
        <item x="3"/>
        <item x="16"/>
        <item x="10"/>
        <item m="1" x="33"/>
        <item m="1" x="31"/>
        <item x="17"/>
        <item x="19"/>
        <item x="18"/>
        <item x="2"/>
        <item x="15"/>
        <item x="20"/>
        <item x="21"/>
        <item x="4"/>
        <item x="22"/>
        <item x="23"/>
        <item x="6"/>
        <item x="24"/>
        <item x="29"/>
        <item x="25"/>
        <item x="26"/>
        <item x="7"/>
        <item x="8"/>
        <item x="27"/>
        <item x="28"/>
        <item m="1" x="32"/>
        <item m="1" x="30"/>
        <item t="default"/>
      </items>
    </pivotField>
    <pivotField showAll="0"/>
    <pivotField axis="axisRow" showAll="0" sortType="ascending">
      <items count="161">
        <item x="111"/>
        <item x="0"/>
        <item x="1"/>
        <item x="2"/>
        <item x="3"/>
        <item x="4"/>
        <item x="5"/>
        <item m="1" x="119"/>
        <item x="7"/>
        <item x="6"/>
        <item x="8"/>
        <item x="9"/>
        <item x="10"/>
        <item m="1" x="149"/>
        <item m="1" x="133"/>
        <item m="1" x="146"/>
        <item m="1" x="121"/>
        <item m="1" x="141"/>
        <item m="1" x="157"/>
        <item m="1" x="118"/>
        <item m="1" x="127"/>
        <item m="1" x="125"/>
        <item m="1" x="137"/>
        <item m="1" x="142"/>
        <item m="1" x="130"/>
        <item m="1" x="139"/>
        <item x="11"/>
        <item x="22"/>
        <item x="23"/>
        <item x="18"/>
        <item x="24"/>
        <item x="26"/>
        <item x="27"/>
        <item x="29"/>
        <item x="28"/>
        <item m="1" x="159"/>
        <item x="30"/>
        <item x="31"/>
        <item x="32"/>
        <item x="33"/>
        <item m="1" x="126"/>
        <item m="1" x="144"/>
        <item x="34"/>
        <item x="35"/>
        <item m="1" x="138"/>
        <item x="13"/>
        <item x="14"/>
        <item x="15"/>
        <item x="16"/>
        <item x="38"/>
        <item x="39"/>
        <item x="40"/>
        <item x="41"/>
        <item x="42"/>
        <item m="1" x="158"/>
        <item x="25"/>
        <item x="45"/>
        <item m="1" x="123"/>
        <item m="1" x="135"/>
        <item x="46"/>
        <item x="47"/>
        <item x="113"/>
        <item m="1" x="143"/>
        <item m="1" x="145"/>
        <item m="1" x="134"/>
        <item m="1" x="129"/>
        <item x="43"/>
        <item x="48"/>
        <item x="49"/>
        <item m="1" x="124"/>
        <item m="1" x="151"/>
        <item x="50"/>
        <item m="1" x="128"/>
        <item m="1" x="156"/>
        <item m="1" x="131"/>
        <item m="1" x="147"/>
        <item m="1" x="132"/>
        <item x="51"/>
        <item x="44"/>
        <item x="12"/>
        <item m="1" x="150"/>
        <item m="1" x="152"/>
        <item x="36"/>
        <item x="37"/>
        <item x="52"/>
        <item x="53"/>
        <item x="54"/>
        <item x="55"/>
        <item x="56"/>
        <item x="57"/>
        <item x="58"/>
        <item m="1" x="136"/>
        <item x="59"/>
        <item x="60"/>
        <item x="114"/>
        <item x="61"/>
        <item x="62"/>
        <item x="17"/>
        <item x="63"/>
        <item x="64"/>
        <item x="19"/>
        <item x="65"/>
        <item m="1" x="140"/>
        <item x="66"/>
        <item x="67"/>
        <item x="68"/>
        <item x="69"/>
        <item x="70"/>
        <item x="115"/>
        <item m="1" x="153"/>
        <item m="1" x="148"/>
        <item m="1" x="155"/>
        <item x="75"/>
        <item x="77"/>
        <item x="76"/>
        <item x="78"/>
        <item x="73"/>
        <item x="74"/>
        <item x="71"/>
        <item x="72"/>
        <item m="1" x="122"/>
        <item m="1" x="154"/>
        <item x="79"/>
        <item x="80"/>
        <item x="20"/>
        <item x="81"/>
        <item x="82"/>
        <item x="83"/>
        <item x="84"/>
        <item x="85"/>
        <item x="86"/>
        <item x="87"/>
        <item x="88"/>
        <item x="89"/>
        <item x="90"/>
        <item x="91"/>
        <item x="112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17"/>
        <item x="21"/>
        <item x="107"/>
        <item x="108"/>
        <item x="109"/>
        <item x="110"/>
        <item m="1" x="120"/>
        <item m="1" x="116"/>
        <item t="default"/>
      </items>
    </pivotField>
    <pivotField dataField="1" showAll="0"/>
  </pivotFields>
  <rowFields count="3">
    <field x="0"/>
    <field x="6"/>
    <field x="8"/>
  </rowFields>
  <rowItems count="156">
    <i>
      <x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1">
      <x v="1"/>
    </i>
    <i r="2">
      <x v="26"/>
    </i>
    <i r="1">
      <x v="5"/>
    </i>
    <i r="2">
      <x v="34"/>
    </i>
    <i r="1">
      <x v="16"/>
    </i>
    <i r="2">
      <x v="79"/>
    </i>
    <i r="1">
      <x v="17"/>
    </i>
    <i r="2">
      <x v="82"/>
    </i>
    <i r="2">
      <x v="83"/>
    </i>
    <i r="1">
      <x v="20"/>
    </i>
    <i r="2">
      <x v="97"/>
    </i>
    <i r="1">
      <x v="23"/>
    </i>
    <i r="2">
      <x v="100"/>
    </i>
    <i r="1">
      <x v="28"/>
    </i>
    <i r="2">
      <x v="124"/>
    </i>
    <i r="1">
      <x v="29"/>
    </i>
    <i r="2">
      <x v="153"/>
    </i>
    <i>
      <x v="1"/>
    </i>
    <i r="1">
      <x v="1"/>
    </i>
    <i r="2">
      <x v="27"/>
    </i>
    <i r="2">
      <x v="28"/>
    </i>
    <i r="1">
      <x v="2"/>
    </i>
    <i r="2">
      <x v="29"/>
    </i>
    <i r="1">
      <x v="3"/>
    </i>
    <i r="2">
      <x v="30"/>
    </i>
    <i r="2">
      <x v="31"/>
    </i>
    <i r="2">
      <x v="32"/>
    </i>
    <i r="1">
      <x v="4"/>
    </i>
    <i r="2">
      <x v="33"/>
    </i>
    <i r="1">
      <x v="5"/>
    </i>
    <i r="2">
      <x v="36"/>
    </i>
    <i r="2">
      <x v="37"/>
    </i>
    <i r="2">
      <x v="38"/>
    </i>
    <i r="2">
      <x v="39"/>
    </i>
    <i r="1">
      <x v="6"/>
    </i>
    <i r="2">
      <x v="42"/>
    </i>
    <i r="1">
      <x v="7"/>
    </i>
    <i r="2">
      <x v="43"/>
    </i>
    <i r="1">
      <x v="8"/>
    </i>
    <i r="2">
      <x v="45"/>
    </i>
    <i r="2">
      <x v="46"/>
    </i>
    <i r="2">
      <x v="47"/>
    </i>
    <i r="2">
      <x v="48"/>
    </i>
    <i r="1">
      <x v="9"/>
    </i>
    <i r="2">
      <x v="49"/>
    </i>
    <i r="2">
      <x v="50"/>
    </i>
    <i r="2">
      <x v="51"/>
    </i>
    <i r="2">
      <x v="52"/>
    </i>
    <i r="2">
      <x v="53"/>
    </i>
    <i r="1">
      <x v="10"/>
    </i>
    <i r="2">
      <x v="55"/>
    </i>
    <i r="2">
      <x v="56"/>
    </i>
    <i r="2">
      <x v="59"/>
    </i>
    <i r="2">
      <x v="60"/>
    </i>
    <i r="2">
      <x v="61"/>
    </i>
    <i r="1">
      <x v="13"/>
    </i>
    <i r="2">
      <x v="66"/>
    </i>
    <i r="2">
      <x v="67"/>
    </i>
    <i r="1">
      <x v="14"/>
    </i>
    <i r="2">
      <x v="68"/>
    </i>
    <i r="2">
      <x v="71"/>
    </i>
    <i r="1">
      <x v="15"/>
    </i>
    <i r="2">
      <x v="77"/>
    </i>
    <i r="2">
      <x v="78"/>
    </i>
    <i r="1">
      <x v="17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1">
      <x v="18"/>
    </i>
    <i r="2">
      <x v="92"/>
    </i>
    <i r="2">
      <x v="93"/>
    </i>
    <i r="2">
      <x v="94"/>
    </i>
    <i r="1">
      <x v="19"/>
    </i>
    <i r="2">
      <x v="95"/>
    </i>
    <i r="2">
      <x v="96"/>
    </i>
    <i r="1">
      <x v="21"/>
    </i>
    <i r="2">
      <x v="98"/>
    </i>
    <i r="1">
      <x v="22"/>
    </i>
    <i r="2">
      <x v="99"/>
    </i>
    <i r="1">
      <x v="24"/>
    </i>
    <i r="2">
      <x v="101"/>
    </i>
    <i r="2">
      <x v="103"/>
    </i>
    <i r="2">
      <x v="104"/>
    </i>
    <i r="2">
      <x v="105"/>
    </i>
    <i r="2">
      <x v="106"/>
    </i>
    <i r="2">
      <x v="107"/>
    </i>
    <i r="1">
      <x v="25"/>
    </i>
    <i r="2">
      <x v="108"/>
    </i>
    <i r="1">
      <x v="26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1">
      <x v="27"/>
    </i>
    <i r="2">
      <x v="122"/>
    </i>
    <i r="2">
      <x v="123"/>
    </i>
    <i r="1">
      <x v="28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1">
      <x v="29"/>
    </i>
    <i r="2">
      <x v="154"/>
    </i>
    <i r="1">
      <x v="30"/>
    </i>
    <i r="2">
      <x v="155"/>
    </i>
    <i r="2">
      <x v="156"/>
    </i>
    <i r="1">
      <x v="31"/>
    </i>
    <i r="2">
      <x v="157"/>
    </i>
    <i>
      <x v="2"/>
    </i>
    <i r="1">
      <x/>
    </i>
    <i r="2">
      <x/>
    </i>
    <i t="grand">
      <x/>
    </i>
  </rowItems>
  <colItems count="1">
    <i/>
  </colItems>
  <dataFields count="1">
    <dataField name="Součet z rozpočet hodnoty" fld="9" baseField="0" baseItem="0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DAEB25-59F6-4B0F-A496-46FD28A65F1A}" name="Tabulka1" displayName="Tabulka1" ref="A1:J170" totalsRowShown="0">
  <autoFilter ref="A1:J170" xr:uid="{A8DAEB25-59F6-4B0F-A496-46FD28A65F1A}">
    <filterColumn colId="3">
      <filters>
        <filter val="-   Kč"/>
      </filters>
    </filterColumn>
  </autoFilter>
  <tableColumns count="10">
    <tableColumn id="1" xr3:uid="{139BA80C-4A03-4D1E-B01D-83E4E8A2CD40}" name="typ"/>
    <tableColumn id="2" xr3:uid="{FC40A41D-3265-4C6B-8CA1-442237B02360}" name="paragraf"/>
    <tableColumn id="3" xr3:uid="{B408531C-6288-4F3A-BB4F-F456549CF5CD}" name="položka"/>
    <tableColumn id="4" xr3:uid="{ACCA80CE-3E85-4CE8-844B-10FCD94E00C4}" name="rozpočet" totalsRowDxfId="5" dataCellStyle="Měna"/>
    <tableColumn id="5" xr3:uid="{0A26DA78-29B0-45E1-8712-2CC7D324EF30}" name="text"/>
    <tableColumn id="6" xr3:uid="{F752A5F0-9493-4B82-9B3C-0D168AA562E4}" name="pomocné" totalsRowDxfId="4" dataCellStyle="Měna"/>
    <tableColumn id="7" xr3:uid="{45270F87-91BD-4525-B57A-CD2C0D0C665B}" name="par+název.par" dataDxfId="3">
      <calculatedColumnFormula>VLOOKUP(Tabulka1[[#This Row],[paragraf]],paragrafy!A:C,3,0)</calculatedColumnFormula>
    </tableColumn>
    <tableColumn id="10" xr3:uid="{EC2F38E4-D29C-491F-83C9-FCD42A5BA19D}" name="položka+název.položky" dataDxfId="2">
      <calculatedColumnFormula>VLOOKUP(Tabulka1[[#This Row],[položka]],položky!A:C,3,0)</calculatedColumnFormula>
    </tableColumn>
    <tableColumn id="8" xr3:uid="{C9846180-5F8A-4FC5-82E0-613FD2D28E21}" name="par+položka+název.položky" dataDxfId="1">
      <calculatedColumnFormula>Tabulka1[[#This Row],[paragraf]]&amp;"  "&amp;Tabulka1[[#This Row],[položka+název.položky]]</calculatedColumnFormula>
    </tableColumn>
    <tableColumn id="9" xr3:uid="{3D068543-00A4-4DE7-B96C-5B346E9840F5}" name="rozpočet hodnoty" dataDxfId="0">
      <calculatedColumnFormula>IF(Tabulka1[[#This Row],[typ]]="02 - výdej",Tabulka1[[#This Row],[rozpočet]]*(-1),Tabulka1[[#This Row],[rozpočet]]*1)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D22E-2A4D-451B-A66E-8CA746765DAF}">
  <dimension ref="A1:I106"/>
  <sheetViews>
    <sheetView tabSelected="1" topLeftCell="A37" workbookViewId="0">
      <selection activeCell="E94" sqref="E94"/>
    </sheetView>
  </sheetViews>
  <sheetFormatPr defaultColWidth="9.140625" defaultRowHeight="12.75" x14ac:dyDescent="0.2"/>
  <cols>
    <col min="1" max="1" width="4.5703125" style="1" bestFit="1" customWidth="1"/>
    <col min="2" max="2" width="5.85546875" style="1" customWidth="1"/>
    <col min="3" max="3" width="14.28515625" style="1" bestFit="1" customWidth="1"/>
    <col min="4" max="4" width="22" style="1" bestFit="1" customWidth="1"/>
    <col min="5" max="5" width="52" style="1" customWidth="1"/>
    <col min="6" max="6" width="18.7109375" style="63" bestFit="1" customWidth="1"/>
    <col min="7" max="7" width="50.28515625" style="1" bestFit="1" customWidth="1"/>
    <col min="8" max="8" width="49.7109375" style="1" bestFit="1" customWidth="1"/>
    <col min="9" max="9" width="14.140625" style="36" bestFit="1" customWidth="1"/>
    <col min="10" max="10" width="50.28515625" style="1" bestFit="1" customWidth="1"/>
    <col min="11" max="11" width="23" style="1" bestFit="1" customWidth="1"/>
    <col min="12" max="16384" width="9.140625" style="1"/>
  </cols>
  <sheetData>
    <row r="1" spans="1:9" ht="23.25" x14ac:dyDescent="0.35">
      <c r="A1" s="90" t="s">
        <v>446</v>
      </c>
      <c r="B1" s="90"/>
      <c r="C1" s="90"/>
      <c r="D1" s="90"/>
      <c r="E1" s="90"/>
      <c r="F1" s="90"/>
    </row>
    <row r="2" spans="1:9" ht="18.75" x14ac:dyDescent="0.3">
      <c r="A2" s="2"/>
      <c r="B2" s="3"/>
      <c r="C2" s="3"/>
      <c r="D2" s="3"/>
      <c r="E2" s="4" t="s">
        <v>0</v>
      </c>
      <c r="F2" s="59"/>
    </row>
    <row r="3" spans="1:9" ht="15" x14ac:dyDescent="0.25">
      <c r="A3" s="2"/>
      <c r="B3" s="3"/>
      <c r="C3" s="5" t="s">
        <v>60</v>
      </c>
      <c r="D3" s="5" t="s">
        <v>509</v>
      </c>
      <c r="E3" s="2" t="s">
        <v>1</v>
      </c>
      <c r="F3" s="65" t="s">
        <v>510</v>
      </c>
    </row>
    <row r="4" spans="1:9" ht="15" x14ac:dyDescent="0.25">
      <c r="A4" s="6"/>
      <c r="B4" s="7"/>
      <c r="C4" s="9"/>
      <c r="D4" s="7"/>
      <c r="E4" s="8" t="s">
        <v>2</v>
      </c>
      <c r="F4" s="62"/>
    </row>
    <row r="5" spans="1:9" x14ac:dyDescent="0.2">
      <c r="A5" s="10" t="s">
        <v>3</v>
      </c>
      <c r="B5" s="11">
        <v>1111</v>
      </c>
      <c r="C5" s="41">
        <v>1600000</v>
      </c>
      <c r="D5" s="39">
        <v>1500000</v>
      </c>
      <c r="E5" s="11" t="s">
        <v>4</v>
      </c>
      <c r="F5" s="68">
        <v>1550000</v>
      </c>
    </row>
    <row r="6" spans="1:9" x14ac:dyDescent="0.2">
      <c r="A6" s="10" t="s">
        <v>3</v>
      </c>
      <c r="B6" s="11">
        <v>1112</v>
      </c>
      <c r="C6" s="41">
        <v>75000</v>
      </c>
      <c r="D6" s="39">
        <v>130000</v>
      </c>
      <c r="E6" s="11" t="s">
        <v>5</v>
      </c>
      <c r="F6" s="68">
        <v>135000</v>
      </c>
      <c r="G6" s="16"/>
    </row>
    <row r="7" spans="1:9" s="16" customFormat="1" x14ac:dyDescent="0.2">
      <c r="A7" s="12" t="s">
        <v>3</v>
      </c>
      <c r="B7" s="13">
        <v>1113</v>
      </c>
      <c r="C7" s="42">
        <v>255000</v>
      </c>
      <c r="D7" s="39">
        <v>320000</v>
      </c>
      <c r="E7" s="14" t="s">
        <v>6</v>
      </c>
      <c r="F7" s="68">
        <v>324000</v>
      </c>
      <c r="H7" s="1"/>
      <c r="I7" s="36"/>
    </row>
    <row r="8" spans="1:9" x14ac:dyDescent="0.2">
      <c r="A8" s="10" t="s">
        <v>3</v>
      </c>
      <c r="B8" s="11">
        <v>1121</v>
      </c>
      <c r="C8" s="41">
        <v>2100000</v>
      </c>
      <c r="D8" s="39">
        <v>2650000</v>
      </c>
      <c r="E8" s="17" t="s">
        <v>7</v>
      </c>
      <c r="F8" s="68">
        <v>2658000</v>
      </c>
      <c r="G8" s="16"/>
    </row>
    <row r="9" spans="1:9" s="16" customFormat="1" x14ac:dyDescent="0.2">
      <c r="A9" s="12" t="s">
        <v>3</v>
      </c>
      <c r="B9" s="13">
        <v>1122</v>
      </c>
      <c r="C9" s="42">
        <v>90000</v>
      </c>
      <c r="D9" s="39">
        <v>111530</v>
      </c>
      <c r="E9" s="14" t="s">
        <v>8</v>
      </c>
      <c r="F9" s="68">
        <v>500000</v>
      </c>
      <c r="H9" s="1"/>
      <c r="I9" s="36"/>
    </row>
    <row r="10" spans="1:9" s="16" customFormat="1" x14ac:dyDescent="0.2">
      <c r="A10" s="12" t="s">
        <v>3</v>
      </c>
      <c r="B10" s="13">
        <v>1211</v>
      </c>
      <c r="C10" s="42">
        <v>4500000</v>
      </c>
      <c r="D10" s="39">
        <v>5450000</v>
      </c>
      <c r="E10" s="14" t="s">
        <v>9</v>
      </c>
      <c r="F10" s="68">
        <v>5495000</v>
      </c>
      <c r="H10" s="1"/>
      <c r="I10" s="36"/>
    </row>
    <row r="11" spans="1:9" s="16" customFormat="1" x14ac:dyDescent="0.2">
      <c r="A11" s="12" t="s">
        <v>3</v>
      </c>
      <c r="B11" s="13">
        <v>1511</v>
      </c>
      <c r="C11" s="42">
        <v>1100000</v>
      </c>
      <c r="D11" s="39">
        <v>1100000</v>
      </c>
      <c r="E11" s="14" t="s">
        <v>10</v>
      </c>
      <c r="F11" s="68">
        <v>1122000</v>
      </c>
      <c r="H11" s="1"/>
      <c r="I11" s="36"/>
    </row>
    <row r="12" spans="1:9" s="16" customFormat="1" x14ac:dyDescent="0.2">
      <c r="A12" s="12" t="s">
        <v>3</v>
      </c>
      <c r="B12" s="16">
        <v>1334</v>
      </c>
      <c r="C12" s="42"/>
      <c r="D12" s="40"/>
      <c r="E12" s="14" t="s">
        <v>62</v>
      </c>
      <c r="F12" s="68"/>
      <c r="H12" s="1"/>
      <c r="I12" s="36"/>
    </row>
    <row r="13" spans="1:9" s="16" customFormat="1" x14ac:dyDescent="0.2">
      <c r="A13" s="12" t="s">
        <v>3</v>
      </c>
      <c r="B13" s="13">
        <v>1345</v>
      </c>
      <c r="C13" s="42">
        <v>355800</v>
      </c>
      <c r="D13" s="40">
        <v>375250</v>
      </c>
      <c r="E13" s="14" t="s">
        <v>11</v>
      </c>
      <c r="F13" s="68">
        <v>362400</v>
      </c>
      <c r="H13" s="1"/>
      <c r="I13" s="36"/>
    </row>
    <row r="14" spans="1:9" s="16" customFormat="1" x14ac:dyDescent="0.2">
      <c r="A14" s="12" t="s">
        <v>3</v>
      </c>
      <c r="B14" s="13">
        <v>1341</v>
      </c>
      <c r="C14" s="42">
        <v>16200</v>
      </c>
      <c r="D14" s="40">
        <v>14400</v>
      </c>
      <c r="E14" s="14" t="s">
        <v>12</v>
      </c>
      <c r="F14" s="68">
        <v>16000</v>
      </c>
      <c r="H14" s="1"/>
      <c r="I14" s="36"/>
    </row>
    <row r="15" spans="1:9" s="16" customFormat="1" x14ac:dyDescent="0.2">
      <c r="A15" s="12" t="s">
        <v>3</v>
      </c>
      <c r="B15" s="13">
        <v>1361</v>
      </c>
      <c r="C15" s="42">
        <v>4000</v>
      </c>
      <c r="D15" s="39">
        <v>2600</v>
      </c>
      <c r="E15" s="14" t="s">
        <v>13</v>
      </c>
      <c r="F15" s="68">
        <v>3200</v>
      </c>
      <c r="H15" s="1"/>
      <c r="I15" s="36"/>
    </row>
    <row r="16" spans="1:9" ht="16.5" customHeight="1" x14ac:dyDescent="0.2">
      <c r="A16" s="12" t="s">
        <v>3</v>
      </c>
      <c r="B16" s="16">
        <v>1381</v>
      </c>
      <c r="C16" s="41"/>
      <c r="D16" s="39">
        <v>70000</v>
      </c>
      <c r="E16" s="17" t="s">
        <v>61</v>
      </c>
      <c r="F16" s="68"/>
    </row>
    <row r="17" spans="1:9" ht="16.5" customHeight="1" x14ac:dyDescent="0.2">
      <c r="A17" s="12"/>
      <c r="B17" s="16"/>
      <c r="C17" s="41"/>
      <c r="D17" s="39"/>
      <c r="E17" s="17"/>
      <c r="F17" s="68"/>
    </row>
    <row r="18" spans="1:9" x14ac:dyDescent="0.2">
      <c r="A18" s="10"/>
      <c r="B18" s="11"/>
      <c r="C18" s="41"/>
      <c r="D18" s="39"/>
      <c r="E18" s="8" t="s">
        <v>14</v>
      </c>
      <c r="F18" s="68"/>
    </row>
    <row r="19" spans="1:9" x14ac:dyDescent="0.2">
      <c r="A19" s="19" t="s">
        <v>15</v>
      </c>
      <c r="B19" s="19">
        <v>1032</v>
      </c>
      <c r="C19" s="41">
        <v>30000</v>
      </c>
      <c r="D19" s="43">
        <v>69500</v>
      </c>
      <c r="E19" s="11" t="s">
        <v>16</v>
      </c>
      <c r="F19" s="68">
        <v>130000</v>
      </c>
    </row>
    <row r="20" spans="1:9" x14ac:dyDescent="0.2">
      <c r="A20" s="19" t="s">
        <v>15</v>
      </c>
      <c r="B20" s="19">
        <v>2321</v>
      </c>
      <c r="C20" s="41">
        <v>1125000</v>
      </c>
      <c r="D20" s="43">
        <v>1270000</v>
      </c>
      <c r="E20" s="11" t="s">
        <v>67</v>
      </c>
      <c r="F20" s="68">
        <v>0</v>
      </c>
    </row>
    <row r="21" spans="1:9" x14ac:dyDescent="0.2">
      <c r="A21" s="19" t="s">
        <v>15</v>
      </c>
      <c r="B21" s="19">
        <v>3113</v>
      </c>
      <c r="C21" s="41">
        <v>88800</v>
      </c>
      <c r="D21" s="43">
        <v>104000</v>
      </c>
      <c r="E21" s="11" t="s">
        <v>17</v>
      </c>
      <c r="F21" s="68">
        <v>0</v>
      </c>
    </row>
    <row r="22" spans="1:9" x14ac:dyDescent="0.2">
      <c r="A22" s="19" t="s">
        <v>15</v>
      </c>
      <c r="B22" s="16">
        <v>3314</v>
      </c>
      <c r="C22" s="41"/>
      <c r="D22" s="43"/>
      <c r="E22" s="11" t="s">
        <v>66</v>
      </c>
      <c r="F22" s="68"/>
    </row>
    <row r="23" spans="1:9" ht="15" x14ac:dyDescent="0.25">
      <c r="A23" s="19" t="s">
        <v>15</v>
      </c>
      <c r="B23" s="16">
        <v>3319</v>
      </c>
      <c r="C23" s="41"/>
      <c r="D23" s="43">
        <v>20000</v>
      </c>
      <c r="E23" t="s">
        <v>65</v>
      </c>
      <c r="F23" s="68"/>
    </row>
    <row r="24" spans="1:9" x14ac:dyDescent="0.2">
      <c r="A24" s="19" t="s">
        <v>15</v>
      </c>
      <c r="B24" s="11">
        <v>3429</v>
      </c>
      <c r="C24" s="41">
        <v>3000</v>
      </c>
      <c r="D24" s="43">
        <v>3150</v>
      </c>
      <c r="E24" s="11" t="s">
        <v>18</v>
      </c>
      <c r="F24" s="68">
        <v>3000</v>
      </c>
    </row>
    <row r="25" spans="1:9" s="16" customFormat="1" x14ac:dyDescent="0.2">
      <c r="A25" s="15" t="s">
        <v>15</v>
      </c>
      <c r="B25" s="13">
        <v>3613</v>
      </c>
      <c r="C25" s="42">
        <v>67000</v>
      </c>
      <c r="D25" s="43">
        <v>67000</v>
      </c>
      <c r="E25" s="14" t="s">
        <v>19</v>
      </c>
      <c r="F25" s="68">
        <v>67000</v>
      </c>
      <c r="G25" s="1"/>
      <c r="H25" s="1"/>
    </row>
    <row r="26" spans="1:9" s="16" customFormat="1" x14ac:dyDescent="0.2">
      <c r="A26" s="15" t="s">
        <v>15</v>
      </c>
      <c r="B26" s="13">
        <v>3632</v>
      </c>
      <c r="C26" s="42"/>
      <c r="D26" s="43">
        <v>3050</v>
      </c>
      <c r="E26" s="14" t="s">
        <v>64</v>
      </c>
      <c r="F26" s="68"/>
      <c r="G26" s="1"/>
    </row>
    <row r="27" spans="1:9" s="16" customFormat="1" x14ac:dyDescent="0.2">
      <c r="A27" s="15" t="s">
        <v>15</v>
      </c>
      <c r="B27" s="15">
        <v>3639</v>
      </c>
      <c r="C27" s="42">
        <v>129919</v>
      </c>
      <c r="D27" s="43">
        <v>130000</v>
      </c>
      <c r="E27" s="14" t="s">
        <v>20</v>
      </c>
      <c r="F27" s="68">
        <v>129487</v>
      </c>
      <c r="G27" s="1"/>
      <c r="I27" s="37"/>
    </row>
    <row r="28" spans="1:9" s="16" customFormat="1" x14ac:dyDescent="0.2">
      <c r="A28" s="15" t="s">
        <v>15</v>
      </c>
      <c r="B28" s="13">
        <v>3722</v>
      </c>
      <c r="C28" s="42"/>
      <c r="D28" s="43">
        <v>500</v>
      </c>
      <c r="E28" s="14" t="s">
        <v>21</v>
      </c>
      <c r="F28" s="68"/>
      <c r="G28" s="1"/>
      <c r="I28" s="37"/>
    </row>
    <row r="29" spans="1:9" s="16" customFormat="1" x14ac:dyDescent="0.2">
      <c r="A29" s="15" t="s">
        <v>15</v>
      </c>
      <c r="B29" s="13">
        <v>3725</v>
      </c>
      <c r="C29" s="42">
        <v>120000</v>
      </c>
      <c r="D29" s="43">
        <v>120000</v>
      </c>
      <c r="E29" s="14" t="s">
        <v>22</v>
      </c>
      <c r="F29" s="68">
        <v>140000</v>
      </c>
      <c r="G29" s="1"/>
      <c r="I29" s="37"/>
    </row>
    <row r="30" spans="1:9" s="16" customFormat="1" x14ac:dyDescent="0.2">
      <c r="A30" s="15" t="s">
        <v>15</v>
      </c>
      <c r="B30" s="13">
        <v>6171</v>
      </c>
      <c r="C30" s="42">
        <v>5000</v>
      </c>
      <c r="D30" s="43">
        <v>2000000</v>
      </c>
      <c r="E30" s="14" t="s">
        <v>23</v>
      </c>
      <c r="F30" s="68">
        <v>5000</v>
      </c>
      <c r="G30" s="1"/>
      <c r="I30" s="37"/>
    </row>
    <row r="31" spans="1:9" s="16" customFormat="1" x14ac:dyDescent="0.2">
      <c r="A31" s="15" t="s">
        <v>15</v>
      </c>
      <c r="B31" s="13">
        <v>6310</v>
      </c>
      <c r="C31" s="42">
        <v>1500</v>
      </c>
      <c r="D31" s="43">
        <v>100000</v>
      </c>
      <c r="E31" s="14" t="s">
        <v>24</v>
      </c>
      <c r="F31" s="68">
        <v>1500</v>
      </c>
      <c r="G31" s="1"/>
      <c r="I31" s="37"/>
    </row>
    <row r="32" spans="1:9" s="16" customFormat="1" ht="15" x14ac:dyDescent="0.25">
      <c r="A32" s="15"/>
      <c r="B32" s="13"/>
      <c r="C32" s="42"/>
      <c r="D32" s="43"/>
      <c r="E32" s="14"/>
      <c r="F32" s="67"/>
      <c r="G32" s="1"/>
    </row>
    <row r="33" spans="1:9" s="16" customFormat="1" ht="15" x14ac:dyDescent="0.25">
      <c r="A33" s="15"/>
      <c r="B33" s="13"/>
      <c r="C33" s="42"/>
      <c r="D33" s="43"/>
      <c r="E33" s="20" t="s">
        <v>25</v>
      </c>
      <c r="F33" s="67"/>
      <c r="G33" s="1"/>
    </row>
    <row r="34" spans="1:9" s="16" customFormat="1" ht="15" x14ac:dyDescent="0.25">
      <c r="A34" s="12" t="s">
        <v>3</v>
      </c>
      <c r="B34" s="13">
        <v>4111</v>
      </c>
      <c r="C34" s="42"/>
      <c r="D34" s="43">
        <v>131611.82</v>
      </c>
      <c r="E34" s="13" t="s">
        <v>63</v>
      </c>
      <c r="F34" s="67"/>
      <c r="G34" s="1"/>
      <c r="H34" s="1"/>
    </row>
    <row r="35" spans="1:9" s="16" customFormat="1" ht="15" x14ac:dyDescent="0.25">
      <c r="A35" s="12" t="s">
        <v>3</v>
      </c>
      <c r="B35" s="13">
        <v>4112</v>
      </c>
      <c r="C35" s="42">
        <v>133500</v>
      </c>
      <c r="D35" s="42">
        <v>138500</v>
      </c>
      <c r="E35" s="14" t="s">
        <v>26</v>
      </c>
      <c r="F35" s="67">
        <v>149500</v>
      </c>
      <c r="G35" s="1"/>
      <c r="H35" s="1"/>
    </row>
    <row r="36" spans="1:9" s="16" customFormat="1" ht="15" x14ac:dyDescent="0.25">
      <c r="A36" s="12" t="s">
        <v>3</v>
      </c>
      <c r="B36" s="13">
        <v>4216</v>
      </c>
      <c r="C36" s="42">
        <v>11791000</v>
      </c>
      <c r="D36" s="44">
        <v>11791000</v>
      </c>
      <c r="E36" s="14" t="s">
        <v>68</v>
      </c>
      <c r="F36" s="67"/>
      <c r="G36" s="1"/>
      <c r="I36" s="37"/>
    </row>
    <row r="37" spans="1:9" ht="15" x14ac:dyDescent="0.25">
      <c r="A37" s="10"/>
      <c r="B37" s="11"/>
      <c r="C37" s="39"/>
      <c r="D37" s="39"/>
      <c r="E37" s="17"/>
      <c r="F37" s="66"/>
    </row>
    <row r="38" spans="1:9" s="16" customFormat="1" ht="13.5" thickBot="1" x14ac:dyDescent="0.25">
      <c r="A38" s="21"/>
      <c r="B38" s="22"/>
      <c r="C38" s="45">
        <f>SUM(C5:C36)</f>
        <v>23590719</v>
      </c>
      <c r="D38" s="45">
        <f>SUM(D5:D36)</f>
        <v>27672091.82</v>
      </c>
      <c r="E38" s="23" t="s">
        <v>27</v>
      </c>
      <c r="F38" s="45">
        <f>SUM(F5:F37)</f>
        <v>12791087</v>
      </c>
      <c r="G38" s="73"/>
      <c r="I38" s="37"/>
    </row>
    <row r="39" spans="1:9" s="16" customFormat="1" ht="15.75" thickTop="1" x14ac:dyDescent="0.2">
      <c r="A39" s="21"/>
      <c r="B39" s="22"/>
      <c r="C39" s="22"/>
      <c r="D39" s="22"/>
      <c r="E39" s="24"/>
      <c r="F39" s="69"/>
      <c r="G39" s="1"/>
      <c r="I39" s="37"/>
    </row>
    <row r="40" spans="1:9" s="16" customFormat="1" ht="15" x14ac:dyDescent="0.2">
      <c r="A40" s="21"/>
      <c r="B40" s="22"/>
      <c r="C40" s="22"/>
      <c r="D40" s="22"/>
      <c r="E40" s="24"/>
      <c r="F40" s="69"/>
      <c r="G40" s="1"/>
      <c r="I40" s="37"/>
    </row>
    <row r="41" spans="1:9" ht="18.75" x14ac:dyDescent="0.3">
      <c r="A41" s="2"/>
      <c r="B41" s="3"/>
      <c r="C41" s="3"/>
      <c r="D41" s="3"/>
      <c r="E41" s="4" t="s">
        <v>28</v>
      </c>
      <c r="F41" s="66"/>
    </row>
    <row r="42" spans="1:9" s="16" customFormat="1" x14ac:dyDescent="0.2">
      <c r="A42" s="15" t="s">
        <v>15</v>
      </c>
      <c r="B42" s="13">
        <v>1032</v>
      </c>
      <c r="C42" s="18">
        <v>30000</v>
      </c>
      <c r="D42" s="54">
        <v>100250</v>
      </c>
      <c r="E42" s="14" t="s">
        <v>29</v>
      </c>
      <c r="F42" s="68">
        <v>60000</v>
      </c>
      <c r="G42" s="1"/>
      <c r="I42" s="37"/>
    </row>
    <row r="43" spans="1:9" x14ac:dyDescent="0.2">
      <c r="A43" s="19" t="s">
        <v>15</v>
      </c>
      <c r="B43" s="19">
        <v>2212</v>
      </c>
      <c r="C43" s="18">
        <v>1050000</v>
      </c>
      <c r="D43" s="55">
        <v>700000</v>
      </c>
      <c r="E43" s="17" t="s">
        <v>30</v>
      </c>
      <c r="F43" s="68">
        <v>100000</v>
      </c>
      <c r="H43" s="16"/>
      <c r="I43" s="37"/>
    </row>
    <row r="44" spans="1:9" x14ac:dyDescent="0.2">
      <c r="A44" s="19" t="s">
        <v>15</v>
      </c>
      <c r="B44" s="11">
        <v>2219</v>
      </c>
      <c r="C44" s="18">
        <v>1575000</v>
      </c>
      <c r="D44" s="56">
        <v>700000</v>
      </c>
      <c r="E44" s="11" t="s">
        <v>31</v>
      </c>
      <c r="F44" s="68">
        <v>2260000</v>
      </c>
      <c r="H44" s="16"/>
      <c r="I44" s="37"/>
    </row>
    <row r="45" spans="1:9" x14ac:dyDescent="0.2">
      <c r="A45" s="19" t="s">
        <v>15</v>
      </c>
      <c r="B45" s="19">
        <v>2292</v>
      </c>
      <c r="C45" s="18">
        <v>45000</v>
      </c>
      <c r="D45" s="55">
        <v>39520</v>
      </c>
      <c r="E45" s="11" t="s">
        <v>32</v>
      </c>
      <c r="F45" s="68">
        <v>45000</v>
      </c>
      <c r="H45" s="16"/>
      <c r="I45" s="37"/>
    </row>
    <row r="46" spans="1:9" x14ac:dyDescent="0.2">
      <c r="A46" s="19" t="s">
        <v>15</v>
      </c>
      <c r="B46" s="19">
        <v>2321</v>
      </c>
      <c r="C46" s="18">
        <v>26283450</v>
      </c>
      <c r="D46" s="55">
        <v>25000000</v>
      </c>
      <c r="E46" s="11" t="s">
        <v>33</v>
      </c>
      <c r="F46" s="68">
        <v>775960</v>
      </c>
      <c r="H46" s="16"/>
      <c r="I46" s="37"/>
    </row>
    <row r="47" spans="1:9" s="16" customFormat="1" x14ac:dyDescent="0.2">
      <c r="A47" s="15" t="s">
        <v>15</v>
      </c>
      <c r="B47" s="13">
        <v>2333</v>
      </c>
      <c r="C47" s="18">
        <v>20000</v>
      </c>
      <c r="D47" s="54">
        <v>11300</v>
      </c>
      <c r="E47" s="14" t="s">
        <v>34</v>
      </c>
      <c r="F47" s="68">
        <v>20000</v>
      </c>
      <c r="G47" s="1"/>
      <c r="I47" s="37"/>
    </row>
    <row r="48" spans="1:9" s="16" customFormat="1" x14ac:dyDescent="0.2">
      <c r="A48" s="15" t="s">
        <v>15</v>
      </c>
      <c r="B48" s="13">
        <v>2341</v>
      </c>
      <c r="C48" s="18">
        <v>20000</v>
      </c>
      <c r="D48" s="54">
        <v>0</v>
      </c>
      <c r="E48" s="14" t="s">
        <v>35</v>
      </c>
      <c r="F48" s="68">
        <v>20000</v>
      </c>
      <c r="G48" s="1"/>
      <c r="I48" s="37"/>
    </row>
    <row r="49" spans="1:9" s="16" customFormat="1" x14ac:dyDescent="0.2">
      <c r="A49" s="15" t="s">
        <v>15</v>
      </c>
      <c r="B49" s="13">
        <v>3113</v>
      </c>
      <c r="C49" s="18">
        <v>716300</v>
      </c>
      <c r="D49" s="54">
        <v>700000</v>
      </c>
      <c r="E49" s="14" t="s">
        <v>36</v>
      </c>
      <c r="F49" s="68">
        <v>1419500</v>
      </c>
      <c r="G49" s="1"/>
      <c r="I49" s="37"/>
    </row>
    <row r="50" spans="1:9" s="26" customFormat="1" x14ac:dyDescent="0.2">
      <c r="A50" s="25" t="s">
        <v>3</v>
      </c>
      <c r="B50" s="26">
        <v>5331</v>
      </c>
      <c r="C50" s="74">
        <v>580000</v>
      </c>
      <c r="D50" s="57">
        <v>580000</v>
      </c>
      <c r="E50" s="26" t="s">
        <v>37</v>
      </c>
      <c r="F50" s="75">
        <v>850000</v>
      </c>
      <c r="I50" s="37"/>
    </row>
    <row r="51" spans="1:9" s="16" customFormat="1" x14ac:dyDescent="0.2">
      <c r="A51" s="15" t="s">
        <v>15</v>
      </c>
      <c r="B51" s="13">
        <v>3314</v>
      </c>
      <c r="C51" s="18">
        <v>42280</v>
      </c>
      <c r="D51" s="54">
        <v>42000</v>
      </c>
      <c r="E51" s="14" t="s">
        <v>38</v>
      </c>
      <c r="F51" s="68">
        <v>62500</v>
      </c>
      <c r="G51" s="76"/>
      <c r="H51" s="26"/>
      <c r="I51" s="37"/>
    </row>
    <row r="52" spans="1:9" s="16" customFormat="1" x14ac:dyDescent="0.2">
      <c r="A52" s="15" t="s">
        <v>15</v>
      </c>
      <c r="B52" s="13">
        <v>3319</v>
      </c>
      <c r="C52" s="18">
        <v>176000</v>
      </c>
      <c r="D52" s="54">
        <v>130000</v>
      </c>
      <c r="E52" s="14" t="s">
        <v>39</v>
      </c>
      <c r="F52" s="68">
        <v>196000</v>
      </c>
      <c r="G52" s="1"/>
      <c r="I52" s="37"/>
    </row>
    <row r="53" spans="1:9" s="16" customFormat="1" x14ac:dyDescent="0.2">
      <c r="A53" s="15" t="s">
        <v>15</v>
      </c>
      <c r="B53" s="13">
        <v>3322</v>
      </c>
      <c r="C53" s="18">
        <v>1000000</v>
      </c>
      <c r="D53" s="54">
        <v>2000</v>
      </c>
      <c r="E53" s="14" t="s">
        <v>40</v>
      </c>
      <c r="F53" s="68"/>
      <c r="I53" s="37"/>
    </row>
    <row r="54" spans="1:9" s="16" customFormat="1" x14ac:dyDescent="0.2">
      <c r="A54" s="15" t="s">
        <v>15</v>
      </c>
      <c r="B54" s="13">
        <v>3326</v>
      </c>
      <c r="C54" s="18">
        <v>150000</v>
      </c>
      <c r="D54" s="54">
        <v>139000</v>
      </c>
      <c r="E54" s="14" t="s">
        <v>41</v>
      </c>
      <c r="F54" s="68"/>
      <c r="I54" s="37"/>
    </row>
    <row r="55" spans="1:9" s="16" customFormat="1" x14ac:dyDescent="0.2">
      <c r="A55" s="15" t="s">
        <v>15</v>
      </c>
      <c r="B55" s="13">
        <v>3399</v>
      </c>
      <c r="C55" s="18">
        <v>37000</v>
      </c>
      <c r="D55" s="54">
        <v>31000</v>
      </c>
      <c r="E55" s="14" t="s">
        <v>42</v>
      </c>
      <c r="F55" s="68">
        <v>43000</v>
      </c>
      <c r="G55" s="1"/>
      <c r="H55" s="1"/>
      <c r="I55" s="37"/>
    </row>
    <row r="56" spans="1:9" s="16" customFormat="1" x14ac:dyDescent="0.2">
      <c r="A56" s="15" t="s">
        <v>15</v>
      </c>
      <c r="B56" s="13">
        <v>3419</v>
      </c>
      <c r="C56" s="18">
        <v>290000</v>
      </c>
      <c r="D56" s="54">
        <v>250000</v>
      </c>
      <c r="E56" s="14" t="s">
        <v>43</v>
      </c>
      <c r="F56" s="68">
        <v>145000</v>
      </c>
      <c r="G56" s="1"/>
      <c r="I56" s="37"/>
    </row>
    <row r="57" spans="1:9" s="16" customFormat="1" x14ac:dyDescent="0.2">
      <c r="A57" s="15" t="s">
        <v>15</v>
      </c>
      <c r="B57" s="13">
        <v>3421</v>
      </c>
      <c r="C57" s="18">
        <v>45000</v>
      </c>
      <c r="D57" s="54">
        <v>16000</v>
      </c>
      <c r="E57" s="14" t="s">
        <v>44</v>
      </c>
      <c r="F57" s="68">
        <v>135000</v>
      </c>
      <c r="G57" s="1"/>
      <c r="I57" s="37"/>
    </row>
    <row r="58" spans="1:9" s="16" customFormat="1" x14ac:dyDescent="0.2">
      <c r="A58" s="15" t="s">
        <v>15</v>
      </c>
      <c r="B58" s="13">
        <v>3429</v>
      </c>
      <c r="C58" s="18"/>
      <c r="D58" s="54"/>
      <c r="E58" s="14" t="s">
        <v>18</v>
      </c>
      <c r="F58" s="68"/>
      <c r="I58" s="37"/>
    </row>
    <row r="59" spans="1:9" s="16" customFormat="1" x14ac:dyDescent="0.2">
      <c r="A59" s="15" t="s">
        <v>15</v>
      </c>
      <c r="B59" s="13">
        <v>3613</v>
      </c>
      <c r="C59" s="18">
        <v>1593000</v>
      </c>
      <c r="D59" s="54">
        <v>800000</v>
      </c>
      <c r="E59" s="14" t="s">
        <v>45</v>
      </c>
      <c r="F59" s="68">
        <v>840120</v>
      </c>
      <c r="G59" s="1"/>
      <c r="I59" s="37"/>
    </row>
    <row r="60" spans="1:9" s="16" customFormat="1" x14ac:dyDescent="0.2">
      <c r="A60" s="15" t="s">
        <v>15</v>
      </c>
      <c r="B60" s="13">
        <v>3631</v>
      </c>
      <c r="C60" s="18">
        <v>166351.6</v>
      </c>
      <c r="D60" s="54">
        <v>210000</v>
      </c>
      <c r="E60" s="14" t="s">
        <v>46</v>
      </c>
      <c r="F60" s="68">
        <v>638138</v>
      </c>
      <c r="G60" s="1"/>
      <c r="H60" s="1"/>
      <c r="I60" s="37"/>
    </row>
    <row r="61" spans="1:9" s="16" customFormat="1" x14ac:dyDescent="0.2">
      <c r="A61" s="15" t="s">
        <v>15</v>
      </c>
      <c r="B61" s="13">
        <v>3632</v>
      </c>
      <c r="C61" s="18">
        <v>12000</v>
      </c>
      <c r="D61" s="54"/>
      <c r="E61" s="14" t="s">
        <v>47</v>
      </c>
      <c r="F61" s="68">
        <v>12000</v>
      </c>
      <c r="I61" s="37"/>
    </row>
    <row r="62" spans="1:9" s="16" customFormat="1" x14ac:dyDescent="0.2">
      <c r="A62" s="15" t="s">
        <v>15</v>
      </c>
      <c r="B62" s="13">
        <v>3639</v>
      </c>
      <c r="C62" s="18"/>
      <c r="D62" s="54">
        <v>25000</v>
      </c>
      <c r="E62" s="14" t="s">
        <v>511</v>
      </c>
      <c r="F62" s="68"/>
      <c r="G62" s="1"/>
      <c r="I62" s="37"/>
    </row>
    <row r="63" spans="1:9" s="16" customFormat="1" x14ac:dyDescent="0.2">
      <c r="A63" s="15" t="s">
        <v>15</v>
      </c>
      <c r="B63" s="13">
        <v>3721</v>
      </c>
      <c r="C63" s="18">
        <v>18000</v>
      </c>
      <c r="D63" s="54">
        <v>7000</v>
      </c>
      <c r="E63" s="14" t="s">
        <v>48</v>
      </c>
      <c r="F63" s="68">
        <v>18000</v>
      </c>
      <c r="G63" s="1"/>
      <c r="I63" s="37"/>
    </row>
    <row r="64" spans="1:9" s="16" customFormat="1" x14ac:dyDescent="0.2">
      <c r="A64" s="15" t="s">
        <v>15</v>
      </c>
      <c r="B64" s="13">
        <v>3722</v>
      </c>
      <c r="C64" s="18">
        <v>977500</v>
      </c>
      <c r="D64" s="54">
        <v>805000</v>
      </c>
      <c r="E64" s="14" t="s">
        <v>49</v>
      </c>
      <c r="F64" s="68">
        <v>971199.99999999988</v>
      </c>
      <c r="G64" s="1"/>
      <c r="H64" s="1"/>
      <c r="I64" s="37"/>
    </row>
    <row r="65" spans="1:9" s="16" customFormat="1" x14ac:dyDescent="0.2">
      <c r="A65" s="15" t="s">
        <v>15</v>
      </c>
      <c r="B65" s="13">
        <v>3745</v>
      </c>
      <c r="C65" s="18">
        <v>212000</v>
      </c>
      <c r="D65" s="54">
        <v>100000</v>
      </c>
      <c r="E65" s="14" t="s">
        <v>50</v>
      </c>
      <c r="F65" s="68">
        <v>235000</v>
      </c>
      <c r="G65" s="1"/>
      <c r="H65" s="1"/>
      <c r="I65" s="37"/>
    </row>
    <row r="66" spans="1:9" s="16" customFormat="1" x14ac:dyDescent="0.2">
      <c r="A66" s="15" t="s">
        <v>15</v>
      </c>
      <c r="B66" s="13">
        <v>5213</v>
      </c>
      <c r="C66" s="18">
        <v>30000</v>
      </c>
      <c r="D66" s="54">
        <v>11000</v>
      </c>
      <c r="E66" s="14" t="s">
        <v>51</v>
      </c>
      <c r="F66" s="68">
        <v>200000</v>
      </c>
      <c r="G66" s="1"/>
      <c r="H66" s="1"/>
      <c r="I66" s="37"/>
    </row>
    <row r="67" spans="1:9" s="16" customFormat="1" x14ac:dyDescent="0.2">
      <c r="A67" s="15" t="s">
        <v>15</v>
      </c>
      <c r="B67" s="13">
        <v>5512</v>
      </c>
      <c r="C67" s="18">
        <v>75020</v>
      </c>
      <c r="D67" s="54">
        <v>31000</v>
      </c>
      <c r="E67" s="14" t="s">
        <v>52</v>
      </c>
      <c r="F67" s="68">
        <v>117080</v>
      </c>
      <c r="G67" s="1"/>
      <c r="I67" s="37"/>
    </row>
    <row r="68" spans="1:9" s="16" customFormat="1" x14ac:dyDescent="0.2">
      <c r="A68" s="15" t="s">
        <v>15</v>
      </c>
      <c r="B68" s="13">
        <v>6112</v>
      </c>
      <c r="C68" s="18">
        <v>787553.68</v>
      </c>
      <c r="D68" s="54">
        <v>920000</v>
      </c>
      <c r="E68" s="14" t="s">
        <v>53</v>
      </c>
      <c r="F68" s="68">
        <v>965300</v>
      </c>
      <c r="G68" s="1"/>
      <c r="H68" s="1"/>
      <c r="I68" s="37"/>
    </row>
    <row r="69" spans="1:9" s="16" customFormat="1" x14ac:dyDescent="0.2">
      <c r="A69" s="15" t="s">
        <v>15</v>
      </c>
      <c r="B69" s="13">
        <v>6171</v>
      </c>
      <c r="C69" s="18">
        <v>1207389</v>
      </c>
      <c r="D69" s="54">
        <v>1100000</v>
      </c>
      <c r="E69" s="14" t="s">
        <v>54</v>
      </c>
      <c r="F69" s="68">
        <v>1478400</v>
      </c>
      <c r="G69" s="1"/>
      <c r="I69" s="37"/>
    </row>
    <row r="70" spans="1:9" s="16" customFormat="1" x14ac:dyDescent="0.2">
      <c r="A70" s="15" t="s">
        <v>15</v>
      </c>
      <c r="B70" s="13">
        <v>6310</v>
      </c>
      <c r="C70" s="18">
        <v>10000</v>
      </c>
      <c r="D70" s="54">
        <v>800</v>
      </c>
      <c r="E70" s="14" t="s">
        <v>24</v>
      </c>
      <c r="F70" s="68">
        <v>10000</v>
      </c>
      <c r="G70" s="1"/>
      <c r="I70" s="37"/>
    </row>
    <row r="71" spans="1:9" x14ac:dyDescent="0.2">
      <c r="A71" s="19" t="s">
        <v>15</v>
      </c>
      <c r="B71" s="11">
        <v>6399</v>
      </c>
      <c r="C71" s="18">
        <v>90000</v>
      </c>
      <c r="D71" s="56">
        <v>300000</v>
      </c>
      <c r="E71" s="17" t="s">
        <v>55</v>
      </c>
      <c r="F71" s="68">
        <v>600000</v>
      </c>
      <c r="H71" s="16"/>
      <c r="I71" s="37"/>
    </row>
    <row r="72" spans="1:9" s="16" customFormat="1" x14ac:dyDescent="0.2">
      <c r="A72" s="15" t="s">
        <v>15</v>
      </c>
      <c r="B72" s="13">
        <v>6402</v>
      </c>
      <c r="C72" s="18">
        <v>44478.42</v>
      </c>
      <c r="D72" s="54">
        <v>44478</v>
      </c>
      <c r="E72" s="14" t="s">
        <v>56</v>
      </c>
      <c r="F72" s="68">
        <v>48119.62</v>
      </c>
      <c r="G72" s="1"/>
      <c r="I72" s="37"/>
    </row>
    <row r="73" spans="1:9" s="16" customFormat="1" ht="15" x14ac:dyDescent="0.25">
      <c r="A73" s="15"/>
      <c r="B73" s="13"/>
      <c r="C73" s="13"/>
      <c r="D73" s="13"/>
      <c r="E73" s="14"/>
      <c r="F73" s="67"/>
      <c r="I73" s="37"/>
    </row>
    <row r="74" spans="1:9" ht="13.5" thickBot="1" x14ac:dyDescent="0.25">
      <c r="A74" s="2"/>
      <c r="B74" s="3"/>
      <c r="C74" s="33">
        <f>SUM(C42:C72)-C50</f>
        <v>36703322.700000003</v>
      </c>
      <c r="D74" s="33">
        <f>SUM(D42:D72)-D50</f>
        <v>32215348</v>
      </c>
      <c r="E74" s="27" t="s">
        <v>57</v>
      </c>
      <c r="F74" s="45">
        <f>SUM(F42:F72)-F50</f>
        <v>11415317.619999999</v>
      </c>
    </row>
    <row r="75" spans="1:9" ht="15.75" thickTop="1" x14ac:dyDescent="0.25">
      <c r="A75" s="2"/>
      <c r="B75" s="3"/>
      <c r="C75" s="3"/>
      <c r="D75" s="3"/>
      <c r="E75" s="28"/>
      <c r="F75" s="66"/>
    </row>
    <row r="76" spans="1:9" ht="15" x14ac:dyDescent="0.25">
      <c r="A76" s="2"/>
      <c r="B76" s="3"/>
      <c r="C76" s="3"/>
      <c r="D76" s="3"/>
      <c r="E76" s="28"/>
      <c r="F76" s="66"/>
    </row>
    <row r="77" spans="1:9" x14ac:dyDescent="0.2">
      <c r="A77" s="12" t="s">
        <v>3</v>
      </c>
      <c r="B77" s="13">
        <v>8124</v>
      </c>
      <c r="C77" s="72"/>
      <c r="D77" s="72"/>
      <c r="E77" s="28" t="s">
        <v>484</v>
      </c>
      <c r="F77" s="45">
        <v>1000000</v>
      </c>
    </row>
    <row r="78" spans="1:9" ht="15" x14ac:dyDescent="0.25">
      <c r="A78" s="2"/>
      <c r="B78" s="3"/>
      <c r="C78" s="3"/>
      <c r="D78" s="3"/>
      <c r="E78" s="28"/>
      <c r="F78" s="66"/>
    </row>
    <row r="79" spans="1:9" ht="15" x14ac:dyDescent="0.25">
      <c r="B79" s="3"/>
      <c r="C79" s="72"/>
      <c r="D79" s="3"/>
      <c r="F79" s="70"/>
    </row>
    <row r="80" spans="1:9" ht="15.75" x14ac:dyDescent="0.25">
      <c r="B80" s="3"/>
      <c r="C80" s="3"/>
      <c r="D80" s="3"/>
      <c r="E80" s="29" t="str">
        <f>E38</f>
        <v>PŘÍJMY CELKEM</v>
      </c>
      <c r="F80" s="70">
        <f>F38</f>
        <v>12791087</v>
      </c>
    </row>
    <row r="81" spans="2:9" ht="15.75" x14ac:dyDescent="0.25">
      <c r="B81" s="3"/>
      <c r="C81" s="3"/>
      <c r="D81" s="3"/>
      <c r="E81" s="29" t="str">
        <f>E74</f>
        <v>Výdaje CELKEM</v>
      </c>
      <c r="F81" s="70">
        <f>SUM(F42:F72)-F50+F77</f>
        <v>12415317.619999999</v>
      </c>
    </row>
    <row r="82" spans="2:9" ht="15.75" x14ac:dyDescent="0.25">
      <c r="B82" s="3"/>
      <c r="C82" s="3"/>
      <c r="D82" s="3"/>
      <c r="E82" s="29" t="s">
        <v>58</v>
      </c>
      <c r="F82" s="70">
        <f>SUM(F80-F81)</f>
        <v>375769.38000000082</v>
      </c>
      <c r="G82" s="77"/>
    </row>
    <row r="83" spans="2:9" ht="15.75" x14ac:dyDescent="0.25">
      <c r="B83" s="3"/>
      <c r="C83" s="3"/>
      <c r="D83" s="3"/>
      <c r="E83" s="29"/>
      <c r="F83" s="60"/>
    </row>
    <row r="84" spans="2:9" x14ac:dyDescent="0.2">
      <c r="B84" s="91" t="s">
        <v>530</v>
      </c>
      <c r="C84" s="91"/>
      <c r="D84" s="91"/>
      <c r="E84" s="91"/>
      <c r="F84" s="91"/>
    </row>
    <row r="85" spans="2:9" x14ac:dyDescent="0.2">
      <c r="B85" s="30"/>
      <c r="C85" s="30"/>
      <c r="D85" s="30"/>
      <c r="E85" s="30"/>
      <c r="F85" s="61"/>
    </row>
    <row r="86" spans="2:9" x14ac:dyDescent="0.2">
      <c r="B86" s="58"/>
      <c r="C86" s="58"/>
      <c r="D86" s="58"/>
      <c r="E86" s="58"/>
      <c r="F86" s="61"/>
    </row>
    <row r="87" spans="2:9" x14ac:dyDescent="0.2">
      <c r="B87" s="91" t="s">
        <v>532</v>
      </c>
      <c r="C87" s="91"/>
      <c r="D87" s="91"/>
      <c r="E87" s="91"/>
      <c r="F87" s="91"/>
    </row>
    <row r="88" spans="2:9" x14ac:dyDescent="0.2">
      <c r="B88" s="30"/>
      <c r="C88" s="30"/>
      <c r="D88" s="30"/>
      <c r="E88" s="30"/>
      <c r="F88" s="61"/>
    </row>
    <row r="89" spans="2:9" s="31" customFormat="1" ht="42" customHeight="1" x14ac:dyDescent="0.2">
      <c r="B89" s="92" t="s">
        <v>440</v>
      </c>
      <c r="C89" s="92"/>
      <c r="D89" s="92"/>
      <c r="E89" s="92"/>
      <c r="F89" s="92"/>
      <c r="I89" s="38"/>
    </row>
    <row r="90" spans="2:9" x14ac:dyDescent="0.2">
      <c r="B90" s="93" t="s">
        <v>442</v>
      </c>
      <c r="C90" s="93"/>
      <c r="D90" s="93"/>
      <c r="E90" s="93"/>
      <c r="F90" s="93"/>
    </row>
    <row r="91" spans="2:9" x14ac:dyDescent="0.2">
      <c r="B91" s="3"/>
      <c r="C91" s="3"/>
      <c r="D91" s="3"/>
      <c r="F91" s="64"/>
    </row>
    <row r="92" spans="2:9" x14ac:dyDescent="0.2">
      <c r="B92" s="11" t="s">
        <v>531</v>
      </c>
      <c r="C92" s="11"/>
      <c r="D92" s="11"/>
      <c r="E92" s="11"/>
      <c r="F92" s="64"/>
    </row>
    <row r="93" spans="2:9" x14ac:dyDescent="0.2">
      <c r="B93" s="11"/>
      <c r="C93" s="11"/>
      <c r="D93" s="11"/>
      <c r="E93" s="11"/>
      <c r="F93" s="64"/>
    </row>
    <row r="94" spans="2:9" x14ac:dyDescent="0.2">
      <c r="B94" s="11"/>
      <c r="C94" s="11"/>
      <c r="D94" s="11"/>
      <c r="E94" s="11"/>
      <c r="F94" s="64"/>
    </row>
    <row r="95" spans="2:9" x14ac:dyDescent="0.2">
      <c r="B95" s="11" t="s">
        <v>441</v>
      </c>
      <c r="C95" s="11"/>
      <c r="D95" s="11"/>
      <c r="F95" s="64"/>
    </row>
    <row r="96" spans="2:9" x14ac:dyDescent="0.2">
      <c r="B96" s="3"/>
      <c r="C96" s="3"/>
      <c r="D96" s="3"/>
      <c r="F96" s="64"/>
    </row>
    <row r="97" spans="2:6" x14ac:dyDescent="0.2">
      <c r="B97" s="11" t="s">
        <v>59</v>
      </c>
      <c r="C97" s="11"/>
      <c r="D97" s="11"/>
      <c r="F97" s="64"/>
    </row>
    <row r="98" spans="2:6" x14ac:dyDescent="0.2">
      <c r="B98" s="3"/>
      <c r="C98" s="3"/>
      <c r="D98" s="3"/>
      <c r="F98" s="64"/>
    </row>
    <row r="99" spans="2:6" x14ac:dyDescent="0.2">
      <c r="B99" s="3"/>
      <c r="C99" s="3"/>
      <c r="D99" s="3"/>
      <c r="F99" s="64"/>
    </row>
    <row r="100" spans="2:6" x14ac:dyDescent="0.2">
      <c r="B100" s="3"/>
      <c r="C100" s="3"/>
      <c r="D100" s="3"/>
      <c r="F100" s="64"/>
    </row>
    <row r="101" spans="2:6" x14ac:dyDescent="0.2">
      <c r="B101" s="3"/>
      <c r="C101" s="3"/>
      <c r="D101" s="3"/>
      <c r="F101" s="64"/>
    </row>
    <row r="102" spans="2:6" x14ac:dyDescent="0.2">
      <c r="B102" s="3"/>
      <c r="C102" s="3"/>
      <c r="D102" s="3"/>
      <c r="F102" s="64"/>
    </row>
    <row r="103" spans="2:6" x14ac:dyDescent="0.2">
      <c r="B103" s="3"/>
      <c r="C103" s="3"/>
      <c r="D103" s="3"/>
      <c r="E103" s="32"/>
      <c r="F103" s="64"/>
    </row>
    <row r="104" spans="2:6" x14ac:dyDescent="0.2">
      <c r="B104" s="3"/>
      <c r="C104" s="3"/>
      <c r="D104" s="3"/>
      <c r="F104" s="64"/>
    </row>
    <row r="105" spans="2:6" x14ac:dyDescent="0.2">
      <c r="B105" s="3"/>
      <c r="C105" s="3"/>
      <c r="D105" s="3"/>
      <c r="F105" s="64"/>
    </row>
    <row r="106" spans="2:6" x14ac:dyDescent="0.2">
      <c r="B106" s="3"/>
      <c r="C106" s="3"/>
      <c r="D106" s="3"/>
      <c r="F106" s="64"/>
    </row>
  </sheetData>
  <mergeCells count="5">
    <mergeCell ref="A1:F1"/>
    <mergeCell ref="B84:F84"/>
    <mergeCell ref="B87:F87"/>
    <mergeCell ref="B89:F89"/>
    <mergeCell ref="B90:F9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5CE4-E8E2-4EE9-9A80-3B16DB025AA7}">
  <sheetPr>
    <tabColor theme="9" tint="0.59999389629810485"/>
    <pageSetUpPr fitToPage="1"/>
  </sheetPr>
  <dimension ref="A3:H55"/>
  <sheetViews>
    <sheetView topLeftCell="A22" workbookViewId="0">
      <selection activeCell="B10" sqref="B10"/>
    </sheetView>
  </sheetViews>
  <sheetFormatPr defaultRowHeight="15" x14ac:dyDescent="0.25"/>
  <cols>
    <col min="1" max="1" width="58.140625" bestFit="1" customWidth="1"/>
    <col min="2" max="2" width="24.7109375" bestFit="1" customWidth="1"/>
    <col min="3" max="3" width="18.28515625" customWidth="1"/>
    <col min="8" max="8" width="13.7109375" style="34" bestFit="1" customWidth="1"/>
  </cols>
  <sheetData>
    <row r="3" spans="1:2" x14ac:dyDescent="0.25">
      <c r="A3" s="46" t="s">
        <v>88</v>
      </c>
      <c r="B3" t="s">
        <v>117</v>
      </c>
    </row>
    <row r="4" spans="1:2" x14ac:dyDescent="0.25">
      <c r="A4" s="47" t="s">
        <v>482</v>
      </c>
      <c r="B4" s="35">
        <v>12791087</v>
      </c>
    </row>
    <row r="5" spans="1:2" x14ac:dyDescent="0.25">
      <c r="A5" s="48" t="s">
        <v>256</v>
      </c>
      <c r="B5" s="35">
        <v>12315100</v>
      </c>
    </row>
    <row r="6" spans="1:2" x14ac:dyDescent="0.25">
      <c r="A6" s="49" t="s">
        <v>257</v>
      </c>
      <c r="B6" s="35">
        <v>1550000</v>
      </c>
    </row>
    <row r="7" spans="1:2" x14ac:dyDescent="0.25">
      <c r="A7" s="49" t="s">
        <v>258</v>
      </c>
      <c r="B7" s="35">
        <v>135000</v>
      </c>
    </row>
    <row r="8" spans="1:2" x14ac:dyDescent="0.25">
      <c r="A8" s="49" t="s">
        <v>259</v>
      </c>
      <c r="B8" s="35">
        <v>324000</v>
      </c>
    </row>
    <row r="9" spans="1:2" x14ac:dyDescent="0.25">
      <c r="A9" s="49" t="s">
        <v>260</v>
      </c>
      <c r="B9" s="35">
        <v>2658000</v>
      </c>
    </row>
    <row r="10" spans="1:2" x14ac:dyDescent="0.25">
      <c r="A10" s="49" t="s">
        <v>261</v>
      </c>
      <c r="B10" s="35">
        <v>500000</v>
      </c>
    </row>
    <row r="11" spans="1:2" x14ac:dyDescent="0.25">
      <c r="A11" s="49" t="s">
        <v>262</v>
      </c>
      <c r="B11" s="35">
        <v>5495000</v>
      </c>
    </row>
    <row r="12" spans="1:2" x14ac:dyDescent="0.25">
      <c r="A12" s="49" t="s">
        <v>263</v>
      </c>
      <c r="B12" s="35">
        <v>16000</v>
      </c>
    </row>
    <row r="13" spans="1:2" x14ac:dyDescent="0.25">
      <c r="A13" s="49" t="s">
        <v>264</v>
      </c>
      <c r="B13" s="35">
        <v>3200</v>
      </c>
    </row>
    <row r="14" spans="1:2" x14ac:dyDescent="0.25">
      <c r="A14" s="49" t="s">
        <v>265</v>
      </c>
      <c r="B14" s="35">
        <v>1122000</v>
      </c>
    </row>
    <row r="15" spans="1:2" x14ac:dyDescent="0.25">
      <c r="A15" s="49" t="s">
        <v>266</v>
      </c>
      <c r="B15" s="35">
        <v>149500</v>
      </c>
    </row>
    <row r="16" spans="1:2" x14ac:dyDescent="0.25">
      <c r="A16" s="49" t="s">
        <v>487</v>
      </c>
      <c r="B16" s="35">
        <v>362400</v>
      </c>
    </row>
    <row r="17" spans="1:2" x14ac:dyDescent="0.25">
      <c r="A17" s="48" t="s">
        <v>294</v>
      </c>
      <c r="B17" s="35">
        <v>130000</v>
      </c>
    </row>
    <row r="18" spans="1:2" x14ac:dyDescent="0.25">
      <c r="A18" s="48" t="s">
        <v>267</v>
      </c>
      <c r="B18" s="35">
        <v>0</v>
      </c>
    </row>
    <row r="19" spans="1:2" x14ac:dyDescent="0.25">
      <c r="A19" s="48" t="s">
        <v>295</v>
      </c>
      <c r="B19" s="35">
        <v>3000</v>
      </c>
    </row>
    <row r="20" spans="1:2" x14ac:dyDescent="0.25">
      <c r="A20" s="48" t="s">
        <v>269</v>
      </c>
      <c r="B20" s="35">
        <v>67000</v>
      </c>
    </row>
    <row r="21" spans="1:2" x14ac:dyDescent="0.25">
      <c r="A21" s="48" t="s">
        <v>296</v>
      </c>
      <c r="B21" s="35">
        <v>129487</v>
      </c>
    </row>
    <row r="22" spans="1:2" x14ac:dyDescent="0.25">
      <c r="A22" s="48" t="s">
        <v>271</v>
      </c>
      <c r="B22" s="35">
        <v>140000</v>
      </c>
    </row>
    <row r="23" spans="1:2" x14ac:dyDescent="0.25">
      <c r="A23" s="48" t="s">
        <v>270</v>
      </c>
      <c r="B23" s="35">
        <v>5000</v>
      </c>
    </row>
    <row r="24" spans="1:2" x14ac:dyDescent="0.25">
      <c r="A24" s="48" t="s">
        <v>272</v>
      </c>
      <c r="B24" s="35">
        <v>1500</v>
      </c>
    </row>
    <row r="25" spans="1:2" x14ac:dyDescent="0.25">
      <c r="A25" s="47" t="s">
        <v>483</v>
      </c>
      <c r="B25" s="35">
        <v>-11415317.619999999</v>
      </c>
    </row>
    <row r="26" spans="1:2" x14ac:dyDescent="0.25">
      <c r="A26" s="48" t="s">
        <v>294</v>
      </c>
      <c r="B26" s="35">
        <v>-60000</v>
      </c>
    </row>
    <row r="27" spans="1:2" x14ac:dyDescent="0.25">
      <c r="A27" s="48" t="s">
        <v>297</v>
      </c>
      <c r="B27" s="35">
        <v>-100000</v>
      </c>
    </row>
    <row r="28" spans="1:2" x14ac:dyDescent="0.25">
      <c r="A28" s="48" t="s">
        <v>277</v>
      </c>
      <c r="B28" s="35">
        <v>-2260000</v>
      </c>
    </row>
    <row r="29" spans="1:2" x14ac:dyDescent="0.25">
      <c r="A29" s="48" t="s">
        <v>298</v>
      </c>
      <c r="B29" s="35">
        <v>-45000</v>
      </c>
    </row>
    <row r="30" spans="1:2" x14ac:dyDescent="0.25">
      <c r="A30" s="48" t="s">
        <v>267</v>
      </c>
      <c r="B30" s="35">
        <v>-775960</v>
      </c>
    </row>
    <row r="31" spans="1:2" x14ac:dyDescent="0.25">
      <c r="A31" s="48" t="s">
        <v>299</v>
      </c>
      <c r="B31" s="35">
        <v>-20000</v>
      </c>
    </row>
    <row r="32" spans="1:2" x14ac:dyDescent="0.25">
      <c r="A32" s="48" t="s">
        <v>300</v>
      </c>
      <c r="B32" s="35">
        <v>-20000</v>
      </c>
    </row>
    <row r="33" spans="1:2" x14ac:dyDescent="0.25">
      <c r="A33" s="48" t="s">
        <v>268</v>
      </c>
      <c r="B33" s="35">
        <v>-1419500</v>
      </c>
    </row>
    <row r="34" spans="1:2" x14ac:dyDescent="0.25">
      <c r="A34" s="48" t="s">
        <v>278</v>
      </c>
      <c r="B34" s="35">
        <v>-62500</v>
      </c>
    </row>
    <row r="35" spans="1:2" x14ac:dyDescent="0.25">
      <c r="A35" s="48" t="s">
        <v>281</v>
      </c>
      <c r="B35" s="35">
        <v>-196000</v>
      </c>
    </row>
    <row r="36" spans="1:2" x14ac:dyDescent="0.25">
      <c r="A36" s="48" t="s">
        <v>282</v>
      </c>
      <c r="B36" s="35">
        <v>-43000</v>
      </c>
    </row>
    <row r="37" spans="1:2" x14ac:dyDescent="0.25">
      <c r="A37" s="48" t="s">
        <v>273</v>
      </c>
      <c r="B37" s="35">
        <v>-145000</v>
      </c>
    </row>
    <row r="38" spans="1:2" x14ac:dyDescent="0.25">
      <c r="A38" s="48" t="s">
        <v>301</v>
      </c>
      <c r="B38" s="35">
        <v>-135000</v>
      </c>
    </row>
    <row r="39" spans="1:2" x14ac:dyDescent="0.25">
      <c r="A39" s="48" t="s">
        <v>269</v>
      </c>
      <c r="B39" s="35">
        <v>-840120</v>
      </c>
    </row>
    <row r="40" spans="1:2" x14ac:dyDescent="0.25">
      <c r="A40" s="48" t="s">
        <v>274</v>
      </c>
      <c r="B40" s="35">
        <v>-638138</v>
      </c>
    </row>
    <row r="41" spans="1:2" x14ac:dyDescent="0.25">
      <c r="A41" s="48" t="s">
        <v>283</v>
      </c>
      <c r="B41" s="35">
        <v>-12000</v>
      </c>
    </row>
    <row r="42" spans="1:2" x14ac:dyDescent="0.25">
      <c r="A42" s="48" t="s">
        <v>284</v>
      </c>
      <c r="B42" s="35">
        <v>-18000</v>
      </c>
    </row>
    <row r="43" spans="1:2" x14ac:dyDescent="0.25">
      <c r="A43" s="48" t="s">
        <v>285</v>
      </c>
      <c r="B43" s="35">
        <v>-971199.99999999988</v>
      </c>
    </row>
    <row r="44" spans="1:2" x14ac:dyDescent="0.25">
      <c r="A44" s="48" t="s">
        <v>286</v>
      </c>
      <c r="B44" s="35">
        <v>-235000</v>
      </c>
    </row>
    <row r="45" spans="1:2" x14ac:dyDescent="0.25">
      <c r="A45" s="48" t="s">
        <v>287</v>
      </c>
      <c r="B45" s="35">
        <v>-200000</v>
      </c>
    </row>
    <row r="46" spans="1:2" x14ac:dyDescent="0.25">
      <c r="A46" s="48" t="s">
        <v>275</v>
      </c>
      <c r="B46" s="35">
        <v>-117080</v>
      </c>
    </row>
    <row r="47" spans="1:2" x14ac:dyDescent="0.25">
      <c r="A47" s="48" t="s">
        <v>276</v>
      </c>
      <c r="B47" s="35">
        <v>-965300</v>
      </c>
    </row>
    <row r="48" spans="1:2" x14ac:dyDescent="0.25">
      <c r="A48" s="48" t="s">
        <v>270</v>
      </c>
      <c r="B48" s="35">
        <v>-1478400</v>
      </c>
    </row>
    <row r="49" spans="1:2" x14ac:dyDescent="0.25">
      <c r="A49" s="48" t="s">
        <v>272</v>
      </c>
      <c r="B49" s="35">
        <v>-10000</v>
      </c>
    </row>
    <row r="50" spans="1:2" x14ac:dyDescent="0.25">
      <c r="A50" s="48" t="s">
        <v>279</v>
      </c>
      <c r="B50" s="35">
        <v>-600000</v>
      </c>
    </row>
    <row r="51" spans="1:2" x14ac:dyDescent="0.25">
      <c r="A51" s="48" t="s">
        <v>280</v>
      </c>
      <c r="B51" s="35">
        <v>-48119.62</v>
      </c>
    </row>
    <row r="52" spans="1:2" x14ac:dyDescent="0.25">
      <c r="A52" s="47" t="s">
        <v>481</v>
      </c>
      <c r="B52" s="35">
        <v>-1000000</v>
      </c>
    </row>
    <row r="53" spans="1:2" x14ac:dyDescent="0.25">
      <c r="A53" s="48" t="s">
        <v>256</v>
      </c>
      <c r="B53" s="35">
        <v>-1000000</v>
      </c>
    </row>
    <row r="54" spans="1:2" x14ac:dyDescent="0.25">
      <c r="A54" s="49" t="s">
        <v>488</v>
      </c>
      <c r="B54" s="35">
        <v>-1000000</v>
      </c>
    </row>
    <row r="55" spans="1:2" x14ac:dyDescent="0.25">
      <c r="A55" s="47" t="s">
        <v>89</v>
      </c>
      <c r="B55" s="35">
        <v>375769.37999999989</v>
      </c>
    </row>
  </sheetData>
  <pageMargins left="0.7" right="0.7" top="0.78740157499999996" bottom="0.78740157499999996" header="0.3" footer="0.3"/>
  <pageSetup paperSize="9" scale="52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1202-E02F-459A-972D-6041B20B7581}">
  <sheetPr>
    <tabColor theme="9" tint="0.59999389629810485"/>
    <pageSetUpPr fitToPage="1"/>
  </sheetPr>
  <dimension ref="A3:B159"/>
  <sheetViews>
    <sheetView topLeftCell="A55" workbookViewId="0">
      <selection activeCell="B150" sqref="B150"/>
    </sheetView>
  </sheetViews>
  <sheetFormatPr defaultRowHeight="15" x14ac:dyDescent="0.25"/>
  <cols>
    <col min="1" max="1" width="64.7109375" bestFit="1" customWidth="1"/>
    <col min="2" max="2" width="24.7109375" bestFit="1" customWidth="1"/>
    <col min="3" max="3" width="23.7109375" bestFit="1" customWidth="1"/>
  </cols>
  <sheetData>
    <row r="3" spans="1:2" x14ac:dyDescent="0.25">
      <c r="A3" s="46" t="s">
        <v>88</v>
      </c>
      <c r="B3" t="s">
        <v>117</v>
      </c>
    </row>
    <row r="4" spans="1:2" x14ac:dyDescent="0.25">
      <c r="A4" s="47" t="s">
        <v>482</v>
      </c>
      <c r="B4" s="35">
        <v>12791087</v>
      </c>
    </row>
    <row r="5" spans="1:2" x14ac:dyDescent="0.25">
      <c r="A5" s="48" t="s">
        <v>256</v>
      </c>
      <c r="B5" s="35">
        <v>12315100</v>
      </c>
    </row>
    <row r="6" spans="1:2" x14ac:dyDescent="0.25">
      <c r="A6" s="49" t="s">
        <v>257</v>
      </c>
      <c r="B6" s="35">
        <v>1550000</v>
      </c>
    </row>
    <row r="7" spans="1:2" x14ac:dyDescent="0.25">
      <c r="A7" s="49" t="s">
        <v>258</v>
      </c>
      <c r="B7" s="35">
        <v>135000</v>
      </c>
    </row>
    <row r="8" spans="1:2" x14ac:dyDescent="0.25">
      <c r="A8" s="49" t="s">
        <v>259</v>
      </c>
      <c r="B8" s="35">
        <v>324000</v>
      </c>
    </row>
    <row r="9" spans="1:2" x14ac:dyDescent="0.25">
      <c r="A9" s="49" t="s">
        <v>260</v>
      </c>
      <c r="B9" s="35">
        <v>2658000</v>
      </c>
    </row>
    <row r="10" spans="1:2" x14ac:dyDescent="0.25">
      <c r="A10" s="49" t="s">
        <v>261</v>
      </c>
      <c r="B10" s="35">
        <v>500000</v>
      </c>
    </row>
    <row r="11" spans="1:2" x14ac:dyDescent="0.25">
      <c r="A11" s="49" t="s">
        <v>262</v>
      </c>
      <c r="B11" s="35">
        <v>5495000</v>
      </c>
    </row>
    <row r="12" spans="1:2" x14ac:dyDescent="0.25">
      <c r="A12" s="49" t="s">
        <v>263</v>
      </c>
      <c r="B12" s="35">
        <v>16000</v>
      </c>
    </row>
    <row r="13" spans="1:2" x14ac:dyDescent="0.25">
      <c r="A13" s="49" t="s">
        <v>487</v>
      </c>
      <c r="B13" s="35">
        <v>362400</v>
      </c>
    </row>
    <row r="14" spans="1:2" x14ac:dyDescent="0.25">
      <c r="A14" s="49" t="s">
        <v>264</v>
      </c>
      <c r="B14" s="35">
        <v>3200</v>
      </c>
    </row>
    <row r="15" spans="1:2" x14ac:dyDescent="0.25">
      <c r="A15" s="49" t="s">
        <v>265</v>
      </c>
      <c r="B15" s="35">
        <v>1122000</v>
      </c>
    </row>
    <row r="16" spans="1:2" x14ac:dyDescent="0.25">
      <c r="A16" s="49" t="s">
        <v>266</v>
      </c>
      <c r="B16" s="35">
        <v>149500</v>
      </c>
    </row>
    <row r="17" spans="1:2" x14ac:dyDescent="0.25">
      <c r="A17" s="48" t="s">
        <v>294</v>
      </c>
      <c r="B17" s="35">
        <v>130000</v>
      </c>
    </row>
    <row r="18" spans="1:2" x14ac:dyDescent="0.25">
      <c r="A18" s="49" t="s">
        <v>326</v>
      </c>
      <c r="B18" s="35">
        <v>130000</v>
      </c>
    </row>
    <row r="19" spans="1:2" x14ac:dyDescent="0.25">
      <c r="A19" s="48" t="s">
        <v>267</v>
      </c>
      <c r="B19" s="35">
        <v>0</v>
      </c>
    </row>
    <row r="20" spans="1:2" x14ac:dyDescent="0.25">
      <c r="A20" s="49" t="s">
        <v>451</v>
      </c>
      <c r="B20" s="35">
        <v>0</v>
      </c>
    </row>
    <row r="21" spans="1:2" x14ac:dyDescent="0.25">
      <c r="A21" s="48" t="s">
        <v>295</v>
      </c>
      <c r="B21" s="35">
        <v>3000</v>
      </c>
    </row>
    <row r="22" spans="1:2" x14ac:dyDescent="0.25">
      <c r="A22" s="49" t="s">
        <v>327</v>
      </c>
      <c r="B22" s="35">
        <v>3000</v>
      </c>
    </row>
    <row r="23" spans="1:2" x14ac:dyDescent="0.25">
      <c r="A23" s="48" t="s">
        <v>269</v>
      </c>
      <c r="B23" s="35">
        <v>67000</v>
      </c>
    </row>
    <row r="24" spans="1:2" x14ac:dyDescent="0.25">
      <c r="A24" s="49" t="s">
        <v>328</v>
      </c>
      <c r="B24" s="35">
        <v>25000</v>
      </c>
    </row>
    <row r="25" spans="1:2" x14ac:dyDescent="0.25">
      <c r="A25" s="49" t="s">
        <v>329</v>
      </c>
      <c r="B25" s="35">
        <v>42000</v>
      </c>
    </row>
    <row r="26" spans="1:2" x14ac:dyDescent="0.25">
      <c r="A26" s="48" t="s">
        <v>296</v>
      </c>
      <c r="B26" s="35">
        <v>129487</v>
      </c>
    </row>
    <row r="27" spans="1:2" x14ac:dyDescent="0.25">
      <c r="A27" s="49" t="s">
        <v>330</v>
      </c>
      <c r="B27" s="35">
        <v>129487</v>
      </c>
    </row>
    <row r="28" spans="1:2" x14ac:dyDescent="0.25">
      <c r="A28" s="48" t="s">
        <v>271</v>
      </c>
      <c r="B28" s="35">
        <v>140000</v>
      </c>
    </row>
    <row r="29" spans="1:2" x14ac:dyDescent="0.25">
      <c r="A29" s="49" t="s">
        <v>331</v>
      </c>
      <c r="B29" s="35">
        <v>140000</v>
      </c>
    </row>
    <row r="30" spans="1:2" x14ac:dyDescent="0.25">
      <c r="A30" s="48" t="s">
        <v>270</v>
      </c>
      <c r="B30" s="35">
        <v>5000</v>
      </c>
    </row>
    <row r="31" spans="1:2" x14ac:dyDescent="0.25">
      <c r="A31" s="49" t="s">
        <v>332</v>
      </c>
      <c r="B31" s="35">
        <v>5000</v>
      </c>
    </row>
    <row r="32" spans="1:2" x14ac:dyDescent="0.25">
      <c r="A32" s="48" t="s">
        <v>272</v>
      </c>
      <c r="B32" s="35">
        <v>1500</v>
      </c>
    </row>
    <row r="33" spans="1:2" x14ac:dyDescent="0.25">
      <c r="A33" s="49" t="s">
        <v>333</v>
      </c>
      <c r="B33" s="35">
        <v>1500</v>
      </c>
    </row>
    <row r="34" spans="1:2" x14ac:dyDescent="0.25">
      <c r="A34" s="47" t="s">
        <v>483</v>
      </c>
      <c r="B34" s="35">
        <v>-11415317.619999999</v>
      </c>
    </row>
    <row r="35" spans="1:2" x14ac:dyDescent="0.25">
      <c r="A35" s="48" t="s">
        <v>294</v>
      </c>
      <c r="B35" s="35">
        <v>-60000</v>
      </c>
    </row>
    <row r="36" spans="1:2" x14ac:dyDescent="0.25">
      <c r="A36" s="49" t="s">
        <v>334</v>
      </c>
      <c r="B36" s="35">
        <v>-10000</v>
      </c>
    </row>
    <row r="37" spans="1:2" x14ac:dyDescent="0.25">
      <c r="A37" s="49" t="s">
        <v>335</v>
      </c>
      <c r="B37" s="35">
        <v>-50000</v>
      </c>
    </row>
    <row r="38" spans="1:2" x14ac:dyDescent="0.25">
      <c r="A38" s="48" t="s">
        <v>297</v>
      </c>
      <c r="B38" s="35">
        <v>-100000</v>
      </c>
    </row>
    <row r="39" spans="1:2" x14ac:dyDescent="0.25">
      <c r="A39" s="49" t="s">
        <v>336</v>
      </c>
      <c r="B39" s="35">
        <v>-100000</v>
      </c>
    </row>
    <row r="40" spans="1:2" x14ac:dyDescent="0.25">
      <c r="A40" s="48" t="s">
        <v>277</v>
      </c>
      <c r="B40" s="35">
        <v>-2260000</v>
      </c>
    </row>
    <row r="41" spans="1:2" x14ac:dyDescent="0.25">
      <c r="A41" s="49" t="s">
        <v>338</v>
      </c>
      <c r="B41" s="35">
        <v>-20000</v>
      </c>
    </row>
    <row r="42" spans="1:2" x14ac:dyDescent="0.25">
      <c r="A42" s="49" t="s">
        <v>337</v>
      </c>
      <c r="B42" s="35">
        <v>-1660000</v>
      </c>
    </row>
    <row r="43" spans="1:2" x14ac:dyDescent="0.25">
      <c r="A43" s="49" t="s">
        <v>419</v>
      </c>
      <c r="B43" s="35">
        <v>-580000</v>
      </c>
    </row>
    <row r="44" spans="1:2" x14ac:dyDescent="0.25">
      <c r="A44" s="48" t="s">
        <v>298</v>
      </c>
      <c r="B44" s="35">
        <v>-45000</v>
      </c>
    </row>
    <row r="45" spans="1:2" x14ac:dyDescent="0.25">
      <c r="A45" s="49" t="s">
        <v>339</v>
      </c>
      <c r="B45" s="35">
        <v>-45000</v>
      </c>
    </row>
    <row r="46" spans="1:2" x14ac:dyDescent="0.25">
      <c r="A46" s="48" t="s">
        <v>267</v>
      </c>
      <c r="B46" s="35">
        <v>-775960</v>
      </c>
    </row>
    <row r="47" spans="1:2" x14ac:dyDescent="0.25">
      <c r="A47" s="49" t="s">
        <v>472</v>
      </c>
      <c r="B47" s="35">
        <v>-144000</v>
      </c>
    </row>
    <row r="48" spans="1:2" x14ac:dyDescent="0.25">
      <c r="A48" s="49" t="s">
        <v>340</v>
      </c>
      <c r="B48" s="35">
        <v>-274720</v>
      </c>
    </row>
    <row r="49" spans="1:2" x14ac:dyDescent="0.25">
      <c r="A49" s="49" t="s">
        <v>341</v>
      </c>
      <c r="B49" s="35">
        <v>-207240</v>
      </c>
    </row>
    <row r="50" spans="1:2" x14ac:dyDescent="0.25">
      <c r="A50" s="49" t="s">
        <v>342</v>
      </c>
      <c r="B50" s="35">
        <v>-150000</v>
      </c>
    </row>
    <row r="51" spans="1:2" x14ac:dyDescent="0.25">
      <c r="A51" s="48" t="s">
        <v>299</v>
      </c>
      <c r="B51" s="35">
        <v>-20000</v>
      </c>
    </row>
    <row r="52" spans="1:2" x14ac:dyDescent="0.25">
      <c r="A52" s="49" t="s">
        <v>343</v>
      </c>
      <c r="B52" s="35">
        <v>-20000</v>
      </c>
    </row>
    <row r="53" spans="1:2" x14ac:dyDescent="0.25">
      <c r="A53" s="48" t="s">
        <v>300</v>
      </c>
      <c r="B53" s="35">
        <v>-20000</v>
      </c>
    </row>
    <row r="54" spans="1:2" x14ac:dyDescent="0.25">
      <c r="A54" s="49" t="s">
        <v>344</v>
      </c>
      <c r="B54" s="35">
        <v>-20000</v>
      </c>
    </row>
    <row r="55" spans="1:2" x14ac:dyDescent="0.25">
      <c r="A55" s="48" t="s">
        <v>268</v>
      </c>
      <c r="B55" s="35">
        <v>-1419500</v>
      </c>
    </row>
    <row r="56" spans="1:2" x14ac:dyDescent="0.25">
      <c r="A56" s="49" t="s">
        <v>345</v>
      </c>
      <c r="B56" s="35">
        <v>-432000</v>
      </c>
    </row>
    <row r="57" spans="1:2" x14ac:dyDescent="0.25">
      <c r="A57" s="49" t="s">
        <v>346</v>
      </c>
      <c r="B57" s="35">
        <v>-130000</v>
      </c>
    </row>
    <row r="58" spans="1:2" x14ac:dyDescent="0.25">
      <c r="A58" s="49" t="s">
        <v>347</v>
      </c>
      <c r="B58" s="35">
        <v>-7500</v>
      </c>
    </row>
    <row r="59" spans="1:2" x14ac:dyDescent="0.25">
      <c r="A59" s="49" t="s">
        <v>348</v>
      </c>
      <c r="B59" s="35">
        <v>-850000</v>
      </c>
    </row>
    <row r="60" spans="1:2" x14ac:dyDescent="0.25">
      <c r="A60" s="48" t="s">
        <v>278</v>
      </c>
      <c r="B60" s="35">
        <v>-62500</v>
      </c>
    </row>
    <row r="61" spans="1:2" x14ac:dyDescent="0.25">
      <c r="A61" s="49" t="s">
        <v>349</v>
      </c>
      <c r="B61" s="35">
        <v>-36000</v>
      </c>
    </row>
    <row r="62" spans="1:2" x14ac:dyDescent="0.25">
      <c r="A62" s="49" t="s">
        <v>350</v>
      </c>
      <c r="B62" s="35">
        <v>-8000</v>
      </c>
    </row>
    <row r="63" spans="1:2" x14ac:dyDescent="0.25">
      <c r="A63" s="49" t="s">
        <v>351</v>
      </c>
      <c r="B63" s="35">
        <v>-2000</v>
      </c>
    </row>
    <row r="64" spans="1:2" x14ac:dyDescent="0.25">
      <c r="A64" s="49" t="s">
        <v>352</v>
      </c>
      <c r="B64" s="35">
        <v>-1500</v>
      </c>
    </row>
    <row r="65" spans="1:2" x14ac:dyDescent="0.25">
      <c r="A65" s="49" t="s">
        <v>353</v>
      </c>
      <c r="B65" s="35">
        <v>-15000</v>
      </c>
    </row>
    <row r="66" spans="1:2" x14ac:dyDescent="0.25">
      <c r="A66" s="48" t="s">
        <v>281</v>
      </c>
      <c r="B66" s="35">
        <v>-196000</v>
      </c>
    </row>
    <row r="67" spans="1:2" x14ac:dyDescent="0.25">
      <c r="A67" s="49" t="s">
        <v>354</v>
      </c>
      <c r="B67" s="35">
        <v>-126000</v>
      </c>
    </row>
    <row r="68" spans="1:2" x14ac:dyDescent="0.25">
      <c r="A68" s="49" t="s">
        <v>357</v>
      </c>
      <c r="B68" s="35">
        <v>-30000</v>
      </c>
    </row>
    <row r="69" spans="1:2" x14ac:dyDescent="0.25">
      <c r="A69" s="49" t="s">
        <v>356</v>
      </c>
      <c r="B69" s="35">
        <v>-10000</v>
      </c>
    </row>
    <row r="70" spans="1:2" x14ac:dyDescent="0.25">
      <c r="A70" s="49" t="s">
        <v>426</v>
      </c>
      <c r="B70" s="35">
        <v>-10000</v>
      </c>
    </row>
    <row r="71" spans="1:2" x14ac:dyDescent="0.25">
      <c r="A71" s="49" t="s">
        <v>355</v>
      </c>
      <c r="B71" s="35">
        <v>-20000</v>
      </c>
    </row>
    <row r="72" spans="1:2" x14ac:dyDescent="0.25">
      <c r="A72" s="48" t="s">
        <v>282</v>
      </c>
      <c r="B72" s="35">
        <v>-43000</v>
      </c>
    </row>
    <row r="73" spans="1:2" x14ac:dyDescent="0.25">
      <c r="A73" s="49" t="s">
        <v>432</v>
      </c>
      <c r="B73" s="35">
        <v>-10800</v>
      </c>
    </row>
    <row r="74" spans="1:2" x14ac:dyDescent="0.25">
      <c r="A74" s="49" t="s">
        <v>433</v>
      </c>
      <c r="B74" s="35">
        <v>-32200</v>
      </c>
    </row>
    <row r="75" spans="1:2" x14ac:dyDescent="0.25">
      <c r="A75" s="48" t="s">
        <v>273</v>
      </c>
      <c r="B75" s="35">
        <v>-145000</v>
      </c>
    </row>
    <row r="76" spans="1:2" x14ac:dyDescent="0.25">
      <c r="A76" s="49" t="s">
        <v>515</v>
      </c>
      <c r="B76" s="35">
        <v>-10000</v>
      </c>
    </row>
    <row r="77" spans="1:2" x14ac:dyDescent="0.25">
      <c r="A77" s="49" t="s">
        <v>358</v>
      </c>
      <c r="B77" s="35">
        <v>-135000</v>
      </c>
    </row>
    <row r="78" spans="1:2" x14ac:dyDescent="0.25">
      <c r="A78" s="48" t="s">
        <v>301</v>
      </c>
      <c r="B78" s="35">
        <v>-135000</v>
      </c>
    </row>
    <row r="79" spans="1:2" x14ac:dyDescent="0.25">
      <c r="A79" s="49" t="s">
        <v>359</v>
      </c>
      <c r="B79" s="35">
        <v>-35000</v>
      </c>
    </row>
    <row r="80" spans="1:2" x14ac:dyDescent="0.25">
      <c r="A80" s="49" t="s">
        <v>506</v>
      </c>
      <c r="B80" s="35">
        <v>-100000</v>
      </c>
    </row>
    <row r="81" spans="1:2" x14ac:dyDescent="0.25">
      <c r="A81" s="48" t="s">
        <v>269</v>
      </c>
      <c r="B81" s="35">
        <v>-840120</v>
      </c>
    </row>
    <row r="82" spans="1:2" x14ac:dyDescent="0.25">
      <c r="A82" s="49" t="s">
        <v>360</v>
      </c>
      <c r="B82" s="35">
        <v>-23760</v>
      </c>
    </row>
    <row r="83" spans="1:2" x14ac:dyDescent="0.25">
      <c r="A83" s="49" t="s">
        <v>361</v>
      </c>
      <c r="B83" s="35">
        <v>-2000</v>
      </c>
    </row>
    <row r="84" spans="1:2" x14ac:dyDescent="0.25">
      <c r="A84" s="49" t="s">
        <v>362</v>
      </c>
      <c r="B84" s="35">
        <v>-11040</v>
      </c>
    </row>
    <row r="85" spans="1:2" x14ac:dyDescent="0.25">
      <c r="A85" s="49" t="s">
        <v>363</v>
      </c>
      <c r="B85" s="35">
        <v>-148320</v>
      </c>
    </row>
    <row r="86" spans="1:2" x14ac:dyDescent="0.25">
      <c r="A86" s="49" t="s">
        <v>364</v>
      </c>
      <c r="B86" s="35">
        <v>-5000</v>
      </c>
    </row>
    <row r="87" spans="1:2" x14ac:dyDescent="0.25">
      <c r="A87" s="49" t="s">
        <v>365</v>
      </c>
      <c r="B87" s="35">
        <v>-250000</v>
      </c>
    </row>
    <row r="88" spans="1:2" x14ac:dyDescent="0.25">
      <c r="A88" s="49" t="s">
        <v>443</v>
      </c>
      <c r="B88" s="35">
        <v>-400000</v>
      </c>
    </row>
    <row r="89" spans="1:2" x14ac:dyDescent="0.25">
      <c r="A89" s="48" t="s">
        <v>274</v>
      </c>
      <c r="B89" s="35">
        <v>-638138</v>
      </c>
    </row>
    <row r="90" spans="1:2" x14ac:dyDescent="0.25">
      <c r="A90" s="49" t="s">
        <v>366</v>
      </c>
      <c r="B90" s="35">
        <v>-438138</v>
      </c>
    </row>
    <row r="91" spans="1:2" x14ac:dyDescent="0.25">
      <c r="A91" s="49" t="s">
        <v>367</v>
      </c>
      <c r="B91" s="35">
        <v>-100000</v>
      </c>
    </row>
    <row r="92" spans="1:2" x14ac:dyDescent="0.25">
      <c r="A92" s="49" t="s">
        <v>516</v>
      </c>
      <c r="B92" s="35">
        <v>-100000</v>
      </c>
    </row>
    <row r="93" spans="1:2" x14ac:dyDescent="0.25">
      <c r="A93" s="48" t="s">
        <v>283</v>
      </c>
      <c r="B93" s="35">
        <v>-12000</v>
      </c>
    </row>
    <row r="94" spans="1:2" x14ac:dyDescent="0.25">
      <c r="A94" s="49" t="s">
        <v>368</v>
      </c>
      <c r="B94" s="35">
        <v>-2000</v>
      </c>
    </row>
    <row r="95" spans="1:2" x14ac:dyDescent="0.25">
      <c r="A95" s="49" t="s">
        <v>369</v>
      </c>
      <c r="B95" s="35">
        <v>-10000</v>
      </c>
    </row>
    <row r="96" spans="1:2" x14ac:dyDescent="0.25">
      <c r="A96" s="48" t="s">
        <v>284</v>
      </c>
      <c r="B96" s="35">
        <v>-18000</v>
      </c>
    </row>
    <row r="97" spans="1:2" x14ac:dyDescent="0.25">
      <c r="A97" s="49" t="s">
        <v>370</v>
      </c>
      <c r="B97" s="35">
        <v>-18000</v>
      </c>
    </row>
    <row r="98" spans="1:2" x14ac:dyDescent="0.25">
      <c r="A98" s="48" t="s">
        <v>285</v>
      </c>
      <c r="B98" s="35">
        <v>-971199.99999999988</v>
      </c>
    </row>
    <row r="99" spans="1:2" x14ac:dyDescent="0.25">
      <c r="A99" s="49" t="s">
        <v>371</v>
      </c>
      <c r="B99" s="35">
        <v>-971199.99999999988</v>
      </c>
    </row>
    <row r="100" spans="1:2" x14ac:dyDescent="0.25">
      <c r="A100" s="48" t="s">
        <v>286</v>
      </c>
      <c r="B100" s="35">
        <v>-235000</v>
      </c>
    </row>
    <row r="101" spans="1:2" x14ac:dyDescent="0.25">
      <c r="A101" s="49" t="s">
        <v>372</v>
      </c>
      <c r="B101" s="35">
        <v>-20000</v>
      </c>
    </row>
    <row r="102" spans="1:2" x14ac:dyDescent="0.25">
      <c r="A102" s="49" t="s">
        <v>373</v>
      </c>
      <c r="B102" s="35">
        <v>-42000</v>
      </c>
    </row>
    <row r="103" spans="1:2" x14ac:dyDescent="0.25">
      <c r="A103" s="49" t="s">
        <v>374</v>
      </c>
      <c r="B103" s="35">
        <v>-40000</v>
      </c>
    </row>
    <row r="104" spans="1:2" x14ac:dyDescent="0.25">
      <c r="A104" s="49" t="s">
        <v>375</v>
      </c>
      <c r="B104" s="35">
        <v>-23000</v>
      </c>
    </row>
    <row r="105" spans="1:2" x14ac:dyDescent="0.25">
      <c r="A105" s="49" t="s">
        <v>376</v>
      </c>
      <c r="B105" s="35">
        <v>-50000</v>
      </c>
    </row>
    <row r="106" spans="1:2" x14ac:dyDescent="0.25">
      <c r="A106" s="49" t="s">
        <v>377</v>
      </c>
      <c r="B106" s="35">
        <v>-60000</v>
      </c>
    </row>
    <row r="107" spans="1:2" x14ac:dyDescent="0.25">
      <c r="A107" s="48" t="s">
        <v>287</v>
      </c>
      <c r="B107" s="35">
        <v>-200000</v>
      </c>
    </row>
    <row r="108" spans="1:2" x14ac:dyDescent="0.25">
      <c r="A108" s="49" t="s">
        <v>378</v>
      </c>
      <c r="B108" s="35">
        <v>-200000</v>
      </c>
    </row>
    <row r="109" spans="1:2" x14ac:dyDescent="0.25">
      <c r="A109" s="48" t="s">
        <v>275</v>
      </c>
      <c r="B109" s="35">
        <v>-117080</v>
      </c>
    </row>
    <row r="110" spans="1:2" x14ac:dyDescent="0.25">
      <c r="A110" s="49" t="s">
        <v>386</v>
      </c>
      <c r="B110" s="35">
        <v>-7000</v>
      </c>
    </row>
    <row r="111" spans="1:2" x14ac:dyDescent="0.25">
      <c r="A111" s="49" t="s">
        <v>379</v>
      </c>
      <c r="B111" s="35">
        <v>-2480</v>
      </c>
    </row>
    <row r="112" spans="1:2" x14ac:dyDescent="0.25">
      <c r="A112" s="49" t="s">
        <v>380</v>
      </c>
      <c r="B112" s="35">
        <v>-36000</v>
      </c>
    </row>
    <row r="113" spans="1:2" x14ac:dyDescent="0.25">
      <c r="A113" s="49" t="s">
        <v>381</v>
      </c>
      <c r="B113" s="35">
        <v>-39600</v>
      </c>
    </row>
    <row r="114" spans="1:2" x14ac:dyDescent="0.25">
      <c r="A114" s="49" t="s">
        <v>382</v>
      </c>
      <c r="B114" s="35">
        <v>-9000</v>
      </c>
    </row>
    <row r="115" spans="1:2" x14ac:dyDescent="0.25">
      <c r="A115" s="49" t="s">
        <v>383</v>
      </c>
      <c r="B115" s="35">
        <v>-5000</v>
      </c>
    </row>
    <row r="116" spans="1:2" x14ac:dyDescent="0.25">
      <c r="A116" s="49" t="s">
        <v>384</v>
      </c>
      <c r="B116" s="35">
        <v>-6000</v>
      </c>
    </row>
    <row r="117" spans="1:2" x14ac:dyDescent="0.25">
      <c r="A117" s="49" t="s">
        <v>385</v>
      </c>
      <c r="B117" s="35">
        <v>-12000</v>
      </c>
    </row>
    <row r="118" spans="1:2" x14ac:dyDescent="0.25">
      <c r="A118" s="48" t="s">
        <v>276</v>
      </c>
      <c r="B118" s="35">
        <v>-965300</v>
      </c>
    </row>
    <row r="119" spans="1:2" x14ac:dyDescent="0.25">
      <c r="A119" s="49" t="s">
        <v>387</v>
      </c>
      <c r="B119" s="35">
        <v>-887500</v>
      </c>
    </row>
    <row r="120" spans="1:2" x14ac:dyDescent="0.25">
      <c r="A120" s="49" t="s">
        <v>388</v>
      </c>
      <c r="B120" s="35">
        <v>-77800</v>
      </c>
    </row>
    <row r="121" spans="1:2" x14ac:dyDescent="0.25">
      <c r="A121" s="48" t="s">
        <v>270</v>
      </c>
      <c r="B121" s="35">
        <v>-1478400</v>
      </c>
    </row>
    <row r="122" spans="1:2" x14ac:dyDescent="0.25">
      <c r="A122" s="49" t="s">
        <v>389</v>
      </c>
      <c r="B122" s="35">
        <v>-390000</v>
      </c>
    </row>
    <row r="123" spans="1:2" x14ac:dyDescent="0.25">
      <c r="A123" s="49" t="s">
        <v>390</v>
      </c>
      <c r="B123" s="35">
        <v>-58200</v>
      </c>
    </row>
    <row r="124" spans="1:2" x14ac:dyDescent="0.25">
      <c r="A124" s="49" t="s">
        <v>391</v>
      </c>
      <c r="B124" s="35">
        <v>-96720</v>
      </c>
    </row>
    <row r="125" spans="1:2" x14ac:dyDescent="0.25">
      <c r="A125" s="49" t="s">
        <v>392</v>
      </c>
      <c r="B125" s="35">
        <v>-35100</v>
      </c>
    </row>
    <row r="126" spans="1:2" x14ac:dyDescent="0.25">
      <c r="A126" s="49" t="s">
        <v>393</v>
      </c>
      <c r="B126" s="35">
        <v>-3000</v>
      </c>
    </row>
    <row r="127" spans="1:2" x14ac:dyDescent="0.25">
      <c r="A127" s="49" t="s">
        <v>473</v>
      </c>
      <c r="B127" s="35">
        <v>-6000</v>
      </c>
    </row>
    <row r="128" spans="1:2" x14ac:dyDescent="0.25">
      <c r="A128" s="49" t="s">
        <v>394</v>
      </c>
      <c r="B128" s="35">
        <v>-2000</v>
      </c>
    </row>
    <row r="129" spans="1:2" x14ac:dyDescent="0.25">
      <c r="A129" s="49" t="s">
        <v>395</v>
      </c>
      <c r="B129" s="35">
        <v>-5000</v>
      </c>
    </row>
    <row r="130" spans="1:2" x14ac:dyDescent="0.25">
      <c r="A130" s="49" t="s">
        <v>396</v>
      </c>
      <c r="B130" s="35">
        <v>-25000</v>
      </c>
    </row>
    <row r="131" spans="1:2" x14ac:dyDescent="0.25">
      <c r="A131" s="49" t="s">
        <v>397</v>
      </c>
      <c r="B131" s="35">
        <v>-3040</v>
      </c>
    </row>
    <row r="132" spans="1:2" x14ac:dyDescent="0.25">
      <c r="A132" s="49" t="s">
        <v>398</v>
      </c>
      <c r="B132" s="35">
        <v>-68400</v>
      </c>
    </row>
    <row r="133" spans="1:2" x14ac:dyDescent="0.25">
      <c r="A133" s="49" t="s">
        <v>399</v>
      </c>
      <c r="B133" s="35">
        <v>-51840</v>
      </c>
    </row>
    <row r="134" spans="1:2" x14ac:dyDescent="0.25">
      <c r="A134" s="49" t="s">
        <v>400</v>
      </c>
      <c r="B134" s="35">
        <v>-3000</v>
      </c>
    </row>
    <row r="135" spans="1:2" x14ac:dyDescent="0.25">
      <c r="A135" s="49" t="s">
        <v>401</v>
      </c>
      <c r="B135" s="35">
        <v>-21600</v>
      </c>
    </row>
    <row r="136" spans="1:2" x14ac:dyDescent="0.25">
      <c r="A136" s="49" t="s">
        <v>402</v>
      </c>
      <c r="B136" s="35">
        <v>-32000</v>
      </c>
    </row>
    <row r="137" spans="1:2" x14ac:dyDescent="0.25">
      <c r="A137" s="49" t="s">
        <v>403</v>
      </c>
      <c r="B137" s="35">
        <v>-1000</v>
      </c>
    </row>
    <row r="138" spans="1:2" x14ac:dyDescent="0.25">
      <c r="A138" s="49" t="s">
        <v>404</v>
      </c>
      <c r="B138" s="35">
        <v>-5000</v>
      </c>
    </row>
    <row r="139" spans="1:2" x14ac:dyDescent="0.25">
      <c r="A139" s="49" t="s">
        <v>405</v>
      </c>
      <c r="B139" s="35">
        <v>-56000</v>
      </c>
    </row>
    <row r="140" spans="1:2" x14ac:dyDescent="0.25">
      <c r="A140" s="49" t="s">
        <v>406</v>
      </c>
      <c r="B140" s="35">
        <v>-440400</v>
      </c>
    </row>
    <row r="141" spans="1:2" x14ac:dyDescent="0.25">
      <c r="A141" s="49" t="s">
        <v>407</v>
      </c>
      <c r="B141" s="35">
        <v>-100000</v>
      </c>
    </row>
    <row r="142" spans="1:2" x14ac:dyDescent="0.25">
      <c r="A142" s="49" t="s">
        <v>408</v>
      </c>
      <c r="B142" s="35">
        <v>-6000</v>
      </c>
    </row>
    <row r="143" spans="1:2" x14ac:dyDescent="0.25">
      <c r="A143" s="49" t="s">
        <v>409</v>
      </c>
      <c r="B143" s="35">
        <v>-4000</v>
      </c>
    </row>
    <row r="144" spans="1:2" x14ac:dyDescent="0.25">
      <c r="A144" s="49" t="s">
        <v>410</v>
      </c>
      <c r="B144" s="35">
        <v>-4100</v>
      </c>
    </row>
    <row r="145" spans="1:2" x14ac:dyDescent="0.25">
      <c r="A145" s="49" t="s">
        <v>411</v>
      </c>
      <c r="B145" s="35">
        <v>-23000</v>
      </c>
    </row>
    <row r="146" spans="1:2" x14ac:dyDescent="0.25">
      <c r="A146" s="49" t="s">
        <v>412</v>
      </c>
      <c r="B146" s="35">
        <v>-27000</v>
      </c>
    </row>
    <row r="147" spans="1:2" x14ac:dyDescent="0.25">
      <c r="A147" s="49" t="s">
        <v>413</v>
      </c>
      <c r="B147" s="35">
        <v>-5000</v>
      </c>
    </row>
    <row r="148" spans="1:2" x14ac:dyDescent="0.25">
      <c r="A148" s="49" t="s">
        <v>414</v>
      </c>
      <c r="B148" s="35">
        <v>-6000</v>
      </c>
    </row>
    <row r="149" spans="1:2" x14ac:dyDescent="0.25">
      <c r="A149" s="48" t="s">
        <v>272</v>
      </c>
      <c r="B149" s="35">
        <v>-10000</v>
      </c>
    </row>
    <row r="150" spans="1:2" x14ac:dyDescent="0.25">
      <c r="A150" s="49" t="s">
        <v>415</v>
      </c>
      <c r="B150" s="35">
        <v>-10000</v>
      </c>
    </row>
    <row r="151" spans="1:2" x14ac:dyDescent="0.25">
      <c r="A151" s="48" t="s">
        <v>279</v>
      </c>
      <c r="B151" s="35">
        <v>-600000</v>
      </c>
    </row>
    <row r="152" spans="1:2" x14ac:dyDescent="0.25">
      <c r="A152" s="49" t="s">
        <v>479</v>
      </c>
      <c r="B152" s="35">
        <v>-100000</v>
      </c>
    </row>
    <row r="153" spans="1:2" x14ac:dyDescent="0.25">
      <c r="A153" s="49" t="s">
        <v>416</v>
      </c>
      <c r="B153" s="35">
        <v>-500000</v>
      </c>
    </row>
    <row r="154" spans="1:2" x14ac:dyDescent="0.25">
      <c r="A154" s="48" t="s">
        <v>280</v>
      </c>
      <c r="B154" s="35">
        <v>-48119.62</v>
      </c>
    </row>
    <row r="155" spans="1:2" x14ac:dyDescent="0.25">
      <c r="A155" s="49" t="s">
        <v>417</v>
      </c>
      <c r="B155" s="35">
        <v>-48119.62</v>
      </c>
    </row>
    <row r="156" spans="1:2" x14ac:dyDescent="0.25">
      <c r="A156" s="47" t="s">
        <v>481</v>
      </c>
      <c r="B156" s="35">
        <v>-1000000</v>
      </c>
    </row>
    <row r="157" spans="1:2" x14ac:dyDescent="0.25">
      <c r="A157" s="48" t="s">
        <v>256</v>
      </c>
      <c r="B157" s="35">
        <v>-1000000</v>
      </c>
    </row>
    <row r="158" spans="1:2" x14ac:dyDescent="0.25">
      <c r="A158" s="49" t="s">
        <v>488</v>
      </c>
      <c r="B158" s="35">
        <v>-1000000</v>
      </c>
    </row>
    <row r="159" spans="1:2" x14ac:dyDescent="0.25">
      <c r="A159" s="47" t="s">
        <v>89</v>
      </c>
      <c r="B159" s="35">
        <v>375769.37999999989</v>
      </c>
    </row>
  </sheetData>
  <pageMargins left="0.7" right="0.7" top="0.78740157499999996" bottom="0.78740157499999996" header="0.3" footer="0.3"/>
  <pageSetup paperSize="9" scale="52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979E-654B-4B86-8F62-CAD7E79AFD6E}">
  <sheetPr>
    <tabColor theme="9"/>
  </sheetPr>
  <dimension ref="A1:K170"/>
  <sheetViews>
    <sheetView workbookViewId="0">
      <selection activeCell="D162" sqref="D162"/>
    </sheetView>
  </sheetViews>
  <sheetFormatPr defaultRowHeight="15" outlineLevelCol="1" x14ac:dyDescent="0.25"/>
  <cols>
    <col min="1" max="1" width="11.85546875" customWidth="1"/>
    <col min="2" max="2" width="7.7109375" customWidth="1"/>
    <col min="3" max="3" width="9.42578125" customWidth="1"/>
    <col min="4" max="4" width="16.140625" style="34" bestFit="1" customWidth="1"/>
    <col min="5" max="5" width="74.140625" customWidth="1"/>
    <col min="6" max="6" width="12.85546875" style="34" hidden="1" customWidth="1" outlineLevel="1"/>
    <col min="7" max="7" width="33" hidden="1" customWidth="1" outlineLevel="1"/>
    <col min="8" max="8" width="24.140625" hidden="1" customWidth="1" outlineLevel="1"/>
    <col min="9" max="9" width="28.140625" hidden="1" customWidth="1" outlineLevel="1"/>
    <col min="10" max="10" width="19" hidden="1" customWidth="1" outlineLevel="1"/>
    <col min="11" max="11" width="8.85546875" collapsed="1"/>
    <col min="12" max="12" width="27.140625" customWidth="1"/>
  </cols>
  <sheetData>
    <row r="1" spans="1:10" x14ac:dyDescent="0.25">
      <c r="A1" t="s">
        <v>69</v>
      </c>
      <c r="B1" t="s">
        <v>70</v>
      </c>
      <c r="C1" t="s">
        <v>71</v>
      </c>
      <c r="D1" s="34" t="s">
        <v>90</v>
      </c>
      <c r="E1" t="s">
        <v>72</v>
      </c>
      <c r="F1" s="34" t="s">
        <v>87</v>
      </c>
      <c r="G1" t="s">
        <v>124</v>
      </c>
      <c r="H1" t="s">
        <v>126</v>
      </c>
      <c r="I1" t="s">
        <v>125</v>
      </c>
      <c r="J1" t="s">
        <v>116</v>
      </c>
    </row>
    <row r="2" spans="1:10" hidden="1" x14ac:dyDescent="0.25">
      <c r="A2" t="s">
        <v>482</v>
      </c>
      <c r="B2" s="53">
        <v>0</v>
      </c>
      <c r="C2">
        <v>1111</v>
      </c>
      <c r="D2" s="34">
        <v>1550000</v>
      </c>
      <c r="E2" t="s">
        <v>490</v>
      </c>
      <c r="G2" t="str">
        <f>VLOOKUP(Tabulka1[[#This Row],[paragraf]],paragrafy!A:C,3,0)</f>
        <v xml:space="preserve">0 - Bez ODPA
</v>
      </c>
      <c r="H2" t="str">
        <f>VLOOKUP(Tabulka1[[#This Row],[položka]],položky!A:C,3,0)</f>
        <v xml:space="preserve">1111 - Daň z příjmů fyzických osob placená plátci
</v>
      </c>
      <c r="I2" t="str">
        <f>Tabulka1[[#This Row],[paragraf]]&amp;"  "&amp;Tabulka1[[#This Row],[položka+název.položky]]</f>
        <v xml:space="preserve">0  1111 - Daň z příjmů fyzických osob placená plátci
</v>
      </c>
      <c r="J2">
        <f>IF(Tabulka1[[#This Row],[typ]]="02 - výdej",Tabulka1[[#This Row],[rozpočet]]*(-1),Tabulka1[[#This Row],[rozpočet]]*1)</f>
        <v>1550000</v>
      </c>
    </row>
    <row r="3" spans="1:10" hidden="1" x14ac:dyDescent="0.25">
      <c r="A3" t="s">
        <v>482</v>
      </c>
      <c r="B3" s="53">
        <v>0</v>
      </c>
      <c r="C3">
        <v>1112</v>
      </c>
      <c r="D3" s="34">
        <v>135000</v>
      </c>
      <c r="E3" t="s">
        <v>490</v>
      </c>
      <c r="G3" t="str">
        <f>VLOOKUP(Tabulka1[[#This Row],[paragraf]],paragrafy!A:C,3,0)</f>
        <v xml:space="preserve">0 - Bez ODPA
</v>
      </c>
      <c r="H3" t="str">
        <f>VLOOKUP(Tabulka1[[#This Row],[položka]],položky!A:C,3,0)</f>
        <v xml:space="preserve">1112 - Daň z příjmů fyzických osob placená poplatníky
</v>
      </c>
      <c r="I3" t="str">
        <f>Tabulka1[[#This Row],[paragraf]]&amp;"  "&amp;Tabulka1[[#This Row],[položka+název.položky]]</f>
        <v xml:space="preserve">0  1112 - Daň z příjmů fyzických osob placená poplatníky
</v>
      </c>
      <c r="J3">
        <f>IF(Tabulka1[[#This Row],[typ]]="02 - výdej",Tabulka1[[#This Row],[rozpočet]]*(-1),Tabulka1[[#This Row],[rozpočet]]*1)</f>
        <v>135000</v>
      </c>
    </row>
    <row r="4" spans="1:10" hidden="1" x14ac:dyDescent="0.25">
      <c r="A4" t="s">
        <v>482</v>
      </c>
      <c r="B4" s="53">
        <v>0</v>
      </c>
      <c r="C4">
        <v>1113</v>
      </c>
      <c r="D4" s="34">
        <v>324000</v>
      </c>
      <c r="E4" t="s">
        <v>490</v>
      </c>
      <c r="G4" t="str">
        <f>VLOOKUP(Tabulka1[[#This Row],[paragraf]],paragrafy!A:C,3,0)</f>
        <v xml:space="preserve">0 - Bez ODPA
</v>
      </c>
      <c r="H4" t="str">
        <f>VLOOKUP(Tabulka1[[#This Row],[položka]],položky!A:C,3,0)</f>
        <v xml:space="preserve">1113 - Daň z příjmů fyzických osob vybíraná srážkou
</v>
      </c>
      <c r="I4" t="str">
        <f>Tabulka1[[#This Row],[paragraf]]&amp;"  "&amp;Tabulka1[[#This Row],[položka+název.položky]]</f>
        <v xml:space="preserve">0  1113 - Daň z příjmů fyzických osob vybíraná srážkou
</v>
      </c>
      <c r="J4">
        <f>IF(Tabulka1[[#This Row],[typ]]="02 - výdej",Tabulka1[[#This Row],[rozpočet]]*(-1),Tabulka1[[#This Row],[rozpočet]]*1)</f>
        <v>324000</v>
      </c>
    </row>
    <row r="5" spans="1:10" hidden="1" x14ac:dyDescent="0.25">
      <c r="A5" t="s">
        <v>482</v>
      </c>
      <c r="B5" s="53">
        <v>0</v>
      </c>
      <c r="C5">
        <v>1121</v>
      </c>
      <c r="D5" s="34">
        <v>2658000</v>
      </c>
      <c r="E5" t="s">
        <v>490</v>
      </c>
      <c r="G5" t="str">
        <f>VLOOKUP(Tabulka1[[#This Row],[paragraf]],paragrafy!A:C,3,0)</f>
        <v xml:space="preserve">0 - Bez ODPA
</v>
      </c>
      <c r="H5" t="str">
        <f>VLOOKUP(Tabulka1[[#This Row],[položka]],položky!A:C,3,0)</f>
        <v xml:space="preserve">1121 - Daň z příjmů právnických osob
</v>
      </c>
      <c r="I5" t="str">
        <f>Tabulka1[[#This Row],[paragraf]]&amp;"  "&amp;Tabulka1[[#This Row],[položka+název.položky]]</f>
        <v xml:space="preserve">0  1121 - Daň z příjmů právnických osob
</v>
      </c>
      <c r="J5">
        <f>IF(Tabulka1[[#This Row],[typ]]="02 - výdej",Tabulka1[[#This Row],[rozpočet]]*(-1),Tabulka1[[#This Row],[rozpočet]]*1)</f>
        <v>2658000</v>
      </c>
    </row>
    <row r="6" spans="1:10" hidden="1" x14ac:dyDescent="0.25">
      <c r="A6" t="s">
        <v>482</v>
      </c>
      <c r="B6" s="53">
        <v>0</v>
      </c>
      <c r="C6">
        <v>1122</v>
      </c>
      <c r="D6" s="34">
        <v>500000</v>
      </c>
      <c r="E6" t="s">
        <v>448</v>
      </c>
      <c r="G6" t="str">
        <f>VLOOKUP(Tabulka1[[#This Row],[paragraf]],paragrafy!A:C,3,0)</f>
        <v xml:space="preserve">0 - Bez ODPA
</v>
      </c>
      <c r="H6" t="str">
        <f>VLOOKUP(Tabulka1[[#This Row],[položka]],položky!A:C,3,0)</f>
        <v xml:space="preserve">1122 - Daň z příjmů právnických osob za obce
</v>
      </c>
      <c r="I6" t="str">
        <f>Tabulka1[[#This Row],[paragraf]]&amp;"  "&amp;Tabulka1[[#This Row],[položka+název.položky]]</f>
        <v xml:space="preserve">0  1122 - Daň z příjmů právnických osob za obce
</v>
      </c>
      <c r="J6">
        <f>IF(Tabulka1[[#This Row],[typ]]="02 - výdej",Tabulka1[[#This Row],[rozpočet]]*(-1),Tabulka1[[#This Row],[rozpočet]]*1)</f>
        <v>500000</v>
      </c>
    </row>
    <row r="7" spans="1:10" hidden="1" x14ac:dyDescent="0.25">
      <c r="A7" t="s">
        <v>482</v>
      </c>
      <c r="B7" s="53">
        <v>0</v>
      </c>
      <c r="C7">
        <v>1211</v>
      </c>
      <c r="D7" s="34">
        <v>5495000</v>
      </c>
      <c r="E7" t="s">
        <v>490</v>
      </c>
      <c r="G7" t="str">
        <f>VLOOKUP(Tabulka1[[#This Row],[paragraf]],paragrafy!A:C,3,0)</f>
        <v xml:space="preserve">0 - Bez ODPA
</v>
      </c>
      <c r="H7" t="str">
        <f>VLOOKUP(Tabulka1[[#This Row],[položka]],položky!A:C,3,0)</f>
        <v xml:space="preserve">1211 - Daň z přidané hodnoty
</v>
      </c>
      <c r="I7" t="str">
        <f>Tabulka1[[#This Row],[paragraf]]&amp;"  "&amp;Tabulka1[[#This Row],[položka+název.položky]]</f>
        <v xml:space="preserve">0  1211 - Daň z přidané hodnoty
</v>
      </c>
      <c r="J7">
        <f>IF(Tabulka1[[#This Row],[typ]]="02 - výdej",Tabulka1[[#This Row],[rozpočet]]*(-1),Tabulka1[[#This Row],[rozpočet]]*1)</f>
        <v>5495000</v>
      </c>
    </row>
    <row r="8" spans="1:10" hidden="1" x14ac:dyDescent="0.25">
      <c r="A8" t="s">
        <v>482</v>
      </c>
      <c r="B8" s="53">
        <v>0</v>
      </c>
      <c r="C8">
        <v>1345</v>
      </c>
      <c r="D8" s="34">
        <f>604*600</f>
        <v>362400</v>
      </c>
      <c r="E8" t="s">
        <v>99</v>
      </c>
      <c r="G8" t="str">
        <f>VLOOKUP(Tabulka1[[#This Row],[paragraf]],paragrafy!A:C,3,0)</f>
        <v xml:space="preserve">0 - Bez ODPA
</v>
      </c>
      <c r="H8" t="str">
        <f>VLOOKUP(Tabulka1[[#This Row],[položka]],položky!A:C,3,0)</f>
        <v xml:space="preserve">1345 - Př. Z poplatku za obecní odpadní systém </v>
      </c>
      <c r="I8" t="str">
        <f>Tabulka1[[#This Row],[paragraf]]&amp;"  "&amp;Tabulka1[[#This Row],[položka+název.položky]]</f>
        <v xml:space="preserve">0  1345 - Př. Z poplatku za obecní odpadní systém </v>
      </c>
      <c r="J8">
        <f>IF(Tabulka1[[#This Row],[typ]]="02 - výdej",Tabulka1[[#This Row],[rozpočet]]*(-1),Tabulka1[[#This Row],[rozpočet]]*1)</f>
        <v>362400</v>
      </c>
    </row>
    <row r="9" spans="1:10" hidden="1" x14ac:dyDescent="0.25">
      <c r="A9" t="s">
        <v>482</v>
      </c>
      <c r="B9" s="53">
        <v>0</v>
      </c>
      <c r="C9">
        <v>1341</v>
      </c>
      <c r="D9" s="34">
        <f>160*100</f>
        <v>16000</v>
      </c>
      <c r="E9" t="s">
        <v>100</v>
      </c>
      <c r="G9" t="str">
        <f>VLOOKUP(Tabulka1[[#This Row],[paragraf]],paragrafy!A:C,3,0)</f>
        <v xml:space="preserve">0 - Bez ODPA
</v>
      </c>
      <c r="H9" t="str">
        <f>VLOOKUP(Tabulka1[[#This Row],[položka]],položky!A:C,3,0)</f>
        <v xml:space="preserve">1341 - Poplatek ze psů
</v>
      </c>
      <c r="I9" t="str">
        <f>Tabulka1[[#This Row],[paragraf]]&amp;"  "&amp;Tabulka1[[#This Row],[položka+název.položky]]</f>
        <v xml:space="preserve">0  1341 - Poplatek ze psů
</v>
      </c>
      <c r="J9">
        <f>IF(Tabulka1[[#This Row],[typ]]="02 - výdej",Tabulka1[[#This Row],[rozpočet]]*(-1),Tabulka1[[#This Row],[rozpočet]]*1)</f>
        <v>16000</v>
      </c>
    </row>
    <row r="10" spans="1:10" hidden="1" x14ac:dyDescent="0.25">
      <c r="A10" t="s">
        <v>482</v>
      </c>
      <c r="B10" s="53">
        <v>0</v>
      </c>
      <c r="C10">
        <v>1361</v>
      </c>
      <c r="D10" s="34">
        <f>2400/9*12</f>
        <v>3200</v>
      </c>
      <c r="E10" t="s">
        <v>491</v>
      </c>
      <c r="G10" t="str">
        <f>VLOOKUP(Tabulka1[[#This Row],[paragraf]],paragrafy!A:C,3,0)</f>
        <v xml:space="preserve">0 - Bez ODPA
</v>
      </c>
      <c r="H10" t="str">
        <f>VLOOKUP(Tabulka1[[#This Row],[položka]],položky!A:C,3,0)</f>
        <v xml:space="preserve">1361 - Správní poplatky
</v>
      </c>
      <c r="I10" t="str">
        <f>Tabulka1[[#This Row],[paragraf]]&amp;"  "&amp;Tabulka1[[#This Row],[položka+název.položky]]</f>
        <v xml:space="preserve">0  1361 - Správní poplatky
</v>
      </c>
      <c r="J10">
        <f>IF(Tabulka1[[#This Row],[typ]]="02 - výdej",Tabulka1[[#This Row],[rozpočet]]*(-1),Tabulka1[[#This Row],[rozpočet]]*1)</f>
        <v>3200</v>
      </c>
    </row>
    <row r="11" spans="1:10" hidden="1" x14ac:dyDescent="0.25">
      <c r="A11" t="s">
        <v>482</v>
      </c>
      <c r="B11" s="53">
        <v>0</v>
      </c>
      <c r="C11">
        <v>1511</v>
      </c>
      <c r="D11" s="34">
        <v>1122000</v>
      </c>
      <c r="E11" t="s">
        <v>490</v>
      </c>
      <c r="G11" t="str">
        <f>VLOOKUP(Tabulka1[[#This Row],[paragraf]],paragrafy!A:C,3,0)</f>
        <v xml:space="preserve">0 - Bez ODPA
</v>
      </c>
      <c r="H11" t="str">
        <f>VLOOKUP(Tabulka1[[#This Row],[položka]],položky!A:C,3,0)</f>
        <v xml:space="preserve">1511 - Daň z nemovitých věcí
</v>
      </c>
      <c r="I11" t="str">
        <f>Tabulka1[[#This Row],[paragraf]]&amp;"  "&amp;Tabulka1[[#This Row],[položka+název.položky]]</f>
        <v xml:space="preserve">0  1511 - Daň z nemovitých věcí
</v>
      </c>
      <c r="J11">
        <f>IF(Tabulka1[[#This Row],[typ]]="02 - výdej",Tabulka1[[#This Row],[rozpočet]]*(-1),Tabulka1[[#This Row],[rozpočet]]*1)</f>
        <v>1122000</v>
      </c>
    </row>
    <row r="12" spans="1:10" hidden="1" x14ac:dyDescent="0.25">
      <c r="A12" t="s">
        <v>482</v>
      </c>
      <c r="B12" s="53">
        <v>0</v>
      </c>
      <c r="C12">
        <v>4112</v>
      </c>
      <c r="D12" s="34">
        <v>149500</v>
      </c>
      <c r="E12" t="s">
        <v>529</v>
      </c>
      <c r="G12" t="str">
        <f>VLOOKUP(Tabulka1[[#This Row],[paragraf]],paragrafy!A:C,3,0)</f>
        <v xml:space="preserve">0 - Bez ODPA
</v>
      </c>
      <c r="H12" t="str">
        <f>VLOOKUP(Tabulka1[[#This Row],[položka]],položky!A:C,3,0)</f>
        <v xml:space="preserve">4112 - Neinv.př.transfery ze SR v rámci souhr.dot.vztahu
</v>
      </c>
      <c r="I12" t="str">
        <f>Tabulka1[[#This Row],[paragraf]]&amp;"  "&amp;Tabulka1[[#This Row],[položka+název.položky]]</f>
        <v xml:space="preserve">0  4112 - Neinv.př.transfery ze SR v rámci souhr.dot.vztahu
</v>
      </c>
      <c r="J12">
        <f>IF(Tabulka1[[#This Row],[typ]]="02 - výdej",Tabulka1[[#This Row],[rozpočet]]*(-1),Tabulka1[[#This Row],[rozpočet]]*1)</f>
        <v>149500</v>
      </c>
    </row>
    <row r="13" spans="1:10" hidden="1" x14ac:dyDescent="0.25">
      <c r="A13" t="s">
        <v>482</v>
      </c>
      <c r="B13">
        <v>1032</v>
      </c>
      <c r="C13">
        <v>2111</v>
      </c>
      <c r="D13" s="34">
        <v>130000</v>
      </c>
      <c r="E13" t="s">
        <v>447</v>
      </c>
      <c r="G13" t="str">
        <f>VLOOKUP(Tabulka1[[#This Row],[paragraf]],paragrafy!A:C,3,0)</f>
        <v>1032 - Podpora ostatních produkčních činností</v>
      </c>
      <c r="H13" t="str">
        <f>VLOOKUP(Tabulka1[[#This Row],[položka]],položky!A:C,3,0)</f>
        <v xml:space="preserve">2111 - Příjmy z poskytování služeb a výrobků
</v>
      </c>
      <c r="I13" t="str">
        <f>Tabulka1[[#This Row],[paragraf]]&amp;"  "&amp;Tabulka1[[#This Row],[položka+název.položky]]</f>
        <v xml:space="preserve">1032  2111 - Příjmy z poskytování služeb a výrobků
</v>
      </c>
      <c r="J13">
        <f>IF(Tabulka1[[#This Row],[typ]]="02 - výdej",Tabulka1[[#This Row],[rozpočet]]*(-1),Tabulka1[[#This Row],[rozpočet]]*1)</f>
        <v>130000</v>
      </c>
    </row>
    <row r="14" spans="1:10" hidden="1" x14ac:dyDescent="0.25">
      <c r="A14" t="s">
        <v>482</v>
      </c>
      <c r="B14">
        <v>3429</v>
      </c>
      <c r="C14">
        <v>2111</v>
      </c>
      <c r="D14" s="34">
        <v>3000</v>
      </c>
      <c r="E14" t="s">
        <v>447</v>
      </c>
      <c r="G14" t="str">
        <f>VLOOKUP(Tabulka1[[#This Row],[paragraf]],paragrafy!A:C,3,0)</f>
        <v>3429 - Zájmová činnost a rekreace j.n.</v>
      </c>
      <c r="H14" t="str">
        <f>VLOOKUP(Tabulka1[[#This Row],[položka]],položky!A:C,3,0)</f>
        <v xml:space="preserve">2111 - Příjmy z poskytování služeb a výrobků
</v>
      </c>
      <c r="I14" t="str">
        <f>Tabulka1[[#This Row],[paragraf]]&amp;"  "&amp;Tabulka1[[#This Row],[položka+název.položky]]</f>
        <v xml:space="preserve">3429  2111 - Příjmy z poskytování služeb a výrobků
</v>
      </c>
      <c r="J14">
        <f>IF(Tabulka1[[#This Row],[typ]]="02 - výdej",Tabulka1[[#This Row],[rozpočet]]*(-1),Tabulka1[[#This Row],[rozpočet]]*1)</f>
        <v>3000</v>
      </c>
    </row>
    <row r="15" spans="1:10" hidden="1" x14ac:dyDescent="0.25">
      <c r="A15" t="s">
        <v>483</v>
      </c>
      <c r="B15">
        <v>3113</v>
      </c>
      <c r="C15">
        <v>5153</v>
      </c>
      <c r="D15" s="34">
        <f>F15*12</f>
        <v>432000</v>
      </c>
      <c r="E15" t="s">
        <v>94</v>
      </c>
      <c r="F15" s="34">
        <v>36000</v>
      </c>
      <c r="G15" t="str">
        <f>VLOOKUP(Tabulka1[[#This Row],[paragraf]],paragrafy!A:C,3,0)</f>
        <v xml:space="preserve">3113 - Základní školy
</v>
      </c>
      <c r="H15" t="str">
        <f>VLOOKUP(Tabulka1[[#This Row],[položka]],položky!A:C,3,0)</f>
        <v xml:space="preserve">5153 - Plyn
</v>
      </c>
      <c r="I15" t="str">
        <f>Tabulka1[[#This Row],[paragraf]]&amp;"  "&amp;Tabulka1[[#This Row],[položka+název.položky]]</f>
        <v xml:space="preserve">3113  5153 - Plyn
</v>
      </c>
      <c r="J15">
        <f>IF(Tabulka1[[#This Row],[typ]]="02 - výdej",Tabulka1[[#This Row],[rozpočet]]*(-1),Tabulka1[[#This Row],[rozpočet]]*1)</f>
        <v>-432000</v>
      </c>
    </row>
    <row r="16" spans="1:10" hidden="1" x14ac:dyDescent="0.25">
      <c r="A16" t="s">
        <v>483</v>
      </c>
      <c r="B16">
        <v>3113</v>
      </c>
      <c r="C16">
        <v>5171</v>
      </c>
      <c r="D16" s="34">
        <f>100000+30000</f>
        <v>130000</v>
      </c>
      <c r="E16" t="s">
        <v>507</v>
      </c>
      <c r="G16" t="str">
        <f>VLOOKUP(Tabulka1[[#This Row],[paragraf]],paragrafy!A:C,3,0)</f>
        <v xml:space="preserve">3113 - Základní školy
</v>
      </c>
      <c r="H16" t="str">
        <f>VLOOKUP(Tabulka1[[#This Row],[položka]],položky!A:C,3,0)</f>
        <v xml:space="preserve">5171 - Opravy a udržování
</v>
      </c>
      <c r="I16" t="str">
        <f>Tabulka1[[#This Row],[paragraf]]&amp;"  "&amp;Tabulka1[[#This Row],[položka+název.položky]]</f>
        <v xml:space="preserve">3113  5171 - Opravy a udržování
</v>
      </c>
      <c r="J16">
        <f>IF(Tabulka1[[#This Row],[typ]]="02 - výdej",Tabulka1[[#This Row],[rozpočet]]*(-1),Tabulka1[[#This Row],[rozpočet]]*1)</f>
        <v>-130000</v>
      </c>
    </row>
    <row r="17" spans="1:10" hidden="1" x14ac:dyDescent="0.25">
      <c r="A17" t="s">
        <v>483</v>
      </c>
      <c r="B17">
        <v>3113</v>
      </c>
      <c r="C17">
        <v>5194</v>
      </c>
      <c r="D17" s="34">
        <f>5*1500</f>
        <v>7500</v>
      </c>
      <c r="E17" t="s">
        <v>499</v>
      </c>
      <c r="G17" t="str">
        <f>VLOOKUP(Tabulka1[[#This Row],[paragraf]],paragrafy!A:C,3,0)</f>
        <v xml:space="preserve">3113 - Základní školy
</v>
      </c>
      <c r="H17" t="str">
        <f>VLOOKUP(Tabulka1[[#This Row],[položka]],položky!A:C,3,0)</f>
        <v xml:space="preserve">5194 - Věcné dary
</v>
      </c>
      <c r="I17" t="str">
        <f>Tabulka1[[#This Row],[paragraf]]&amp;"  "&amp;Tabulka1[[#This Row],[položka+název.položky]]</f>
        <v xml:space="preserve">3113  5194 - Věcné dary
</v>
      </c>
      <c r="J17">
        <f>IF(Tabulka1[[#This Row],[typ]]="02 - výdej",Tabulka1[[#This Row],[rozpočet]]*(-1),Tabulka1[[#This Row],[rozpočet]]*1)</f>
        <v>-7500</v>
      </c>
    </row>
    <row r="18" spans="1:10" hidden="1" x14ac:dyDescent="0.25">
      <c r="A18" t="s">
        <v>483</v>
      </c>
      <c r="B18">
        <v>3113</v>
      </c>
      <c r="C18">
        <v>5331</v>
      </c>
      <c r="D18" s="34">
        <f>1250000-400000</f>
        <v>850000</v>
      </c>
      <c r="E18" t="s">
        <v>500</v>
      </c>
      <c r="G18" t="str">
        <f>VLOOKUP(Tabulka1[[#This Row],[paragraf]],paragrafy!A:C,3,0)</f>
        <v xml:space="preserve">3113 - Základní školy
</v>
      </c>
      <c r="H18" t="str">
        <f>VLOOKUP(Tabulka1[[#This Row],[položka]],položky!A:C,3,0)</f>
        <v xml:space="preserve">5331 - Neinvestiční příspěvky zřízeným příspěvkovým organ
</v>
      </c>
      <c r="I18" t="str">
        <f>Tabulka1[[#This Row],[paragraf]]&amp;"  "&amp;Tabulka1[[#This Row],[položka+název.položky]]</f>
        <v xml:space="preserve">3113  5331 - Neinvestiční příspěvky zřízeným příspěvkovým organ
</v>
      </c>
      <c r="J18">
        <f>IF(Tabulka1[[#This Row],[typ]]="02 - výdej",Tabulka1[[#This Row],[rozpočet]]*(-1),Tabulka1[[#This Row],[rozpočet]]*1)</f>
        <v>-850000</v>
      </c>
    </row>
    <row r="19" spans="1:10" hidden="1" x14ac:dyDescent="0.25">
      <c r="A19" t="s">
        <v>482</v>
      </c>
      <c r="B19">
        <v>3639</v>
      </c>
      <c r="C19">
        <v>2131</v>
      </c>
      <c r="D19" s="34">
        <v>1</v>
      </c>
      <c r="E19" t="s">
        <v>107</v>
      </c>
      <c r="G19" t="str">
        <f>VLOOKUP(Tabulka1[[#This Row],[paragraf]],paragrafy!A:C,3,0)</f>
        <v>3639 - Komunální služby a územní rozvoj j.n.</v>
      </c>
      <c r="H19" t="str">
        <f>VLOOKUP(Tabulka1[[#This Row],[položka]],položky!A:C,3,0)</f>
        <v xml:space="preserve">2131 - Příjmy z pronájmu pozemků
</v>
      </c>
      <c r="I19" t="str">
        <f>Tabulka1[[#This Row],[paragraf]]&amp;"  "&amp;Tabulka1[[#This Row],[položka+název.položky]]</f>
        <v xml:space="preserve">3639  2131 - Příjmy z pronájmu pozemků
</v>
      </c>
      <c r="J19">
        <f>IF(Tabulka1[[#This Row],[typ]]="02 - výdej",Tabulka1[[#This Row],[rozpočet]]*(-1),Tabulka1[[#This Row],[rozpočet]]*1)</f>
        <v>1</v>
      </c>
    </row>
    <row r="20" spans="1:10" hidden="1" x14ac:dyDescent="0.25">
      <c r="A20" t="s">
        <v>483</v>
      </c>
      <c r="B20">
        <v>2212</v>
      </c>
      <c r="C20">
        <v>5171</v>
      </c>
      <c r="D20" s="34">
        <v>100000</v>
      </c>
      <c r="E20" t="s">
        <v>492</v>
      </c>
      <c r="G20" s="50" t="str">
        <f>VLOOKUP(Tabulka1[[#This Row],[paragraf]],paragrafy!A:C,3,0)</f>
        <v>2212 - Silnice</v>
      </c>
      <c r="H20" s="50" t="str">
        <f>VLOOKUP(Tabulka1[[#This Row],[položka]],položky!A:C,3,0)</f>
        <v xml:space="preserve">5171 - Opravy a udržování
</v>
      </c>
      <c r="I20" s="50" t="str">
        <f>Tabulka1[[#This Row],[paragraf]]&amp;"  "&amp;Tabulka1[[#This Row],[položka+název.položky]]</f>
        <v xml:space="preserve">2212  5171 - Opravy a udržování
</v>
      </c>
      <c r="J20" s="50">
        <f>IF(Tabulka1[[#This Row],[typ]]="02 - výdej",Tabulka1[[#This Row],[rozpočet]]*(-1),Tabulka1[[#This Row],[rozpočet]]*1)</f>
        <v>-100000</v>
      </c>
    </row>
    <row r="21" spans="1:10" hidden="1" x14ac:dyDescent="0.25">
      <c r="A21" t="s">
        <v>482</v>
      </c>
      <c r="B21">
        <v>3639</v>
      </c>
      <c r="C21">
        <v>2131</v>
      </c>
      <c r="D21" s="34">
        <v>1</v>
      </c>
      <c r="E21" t="s">
        <v>110</v>
      </c>
      <c r="G21" t="str">
        <f>VLOOKUP(Tabulka1[[#This Row],[paragraf]],paragrafy!A:C,3,0)</f>
        <v>3639 - Komunální služby a územní rozvoj j.n.</v>
      </c>
      <c r="H21" t="str">
        <f>VLOOKUP(Tabulka1[[#This Row],[položka]],položky!A:C,3,0)</f>
        <v xml:space="preserve">2131 - Příjmy z pronájmu pozemků
</v>
      </c>
      <c r="I21" t="str">
        <f>Tabulka1[[#This Row],[paragraf]]&amp;"  "&amp;Tabulka1[[#This Row],[položka+název.položky]]</f>
        <v xml:space="preserve">3639  2131 - Příjmy z pronájmu pozemků
</v>
      </c>
      <c r="J21">
        <f>IF(Tabulka1[[#This Row],[typ]]="02 - výdej",Tabulka1[[#This Row],[rozpočet]]*(-1),Tabulka1[[#This Row],[rozpočet]]*1)</f>
        <v>1</v>
      </c>
    </row>
    <row r="22" spans="1:10" hidden="1" x14ac:dyDescent="0.25">
      <c r="A22" t="s">
        <v>482</v>
      </c>
      <c r="B22">
        <v>3639</v>
      </c>
      <c r="C22">
        <v>2131</v>
      </c>
      <c r="D22" s="34">
        <v>1</v>
      </c>
      <c r="E22" t="s">
        <v>112</v>
      </c>
      <c r="G22" t="str">
        <f>VLOOKUP(Tabulka1[[#This Row],[paragraf]],paragrafy!A:C,3,0)</f>
        <v>3639 - Komunální služby a územní rozvoj j.n.</v>
      </c>
      <c r="H22" t="str">
        <f>VLOOKUP(Tabulka1[[#This Row],[položka]],položky!A:C,3,0)</f>
        <v xml:space="preserve">2131 - Příjmy z pronájmu pozemků
</v>
      </c>
      <c r="I22" t="str">
        <f>Tabulka1[[#This Row],[paragraf]]&amp;"  "&amp;Tabulka1[[#This Row],[položka+název.položky]]</f>
        <v xml:space="preserve">3639  2131 - Příjmy z pronájmu pozemků
</v>
      </c>
      <c r="J22">
        <f>IF(Tabulka1[[#This Row],[typ]]="02 - výdej",Tabulka1[[#This Row],[rozpočet]]*(-1),Tabulka1[[#This Row],[rozpočet]]*1)</f>
        <v>1</v>
      </c>
    </row>
    <row r="23" spans="1:10" hidden="1" x14ac:dyDescent="0.25">
      <c r="A23" t="s">
        <v>482</v>
      </c>
      <c r="B23">
        <v>3639</v>
      </c>
      <c r="C23">
        <v>2131</v>
      </c>
      <c r="D23" s="34">
        <v>1</v>
      </c>
      <c r="E23" t="s">
        <v>106</v>
      </c>
      <c r="G23" t="str">
        <f>VLOOKUP(Tabulka1[[#This Row],[paragraf]],paragrafy!A:C,3,0)</f>
        <v>3639 - Komunální služby a územní rozvoj j.n.</v>
      </c>
      <c r="H23" t="str">
        <f>VLOOKUP(Tabulka1[[#This Row],[položka]],položky!A:C,3,0)</f>
        <v xml:space="preserve">2131 - Příjmy z pronájmu pozemků
</v>
      </c>
      <c r="I23" t="str">
        <f>Tabulka1[[#This Row],[paragraf]]&amp;"  "&amp;Tabulka1[[#This Row],[položka+název.položky]]</f>
        <v xml:space="preserve">3639  2131 - Příjmy z pronájmu pozemků
</v>
      </c>
      <c r="J23">
        <f>IF(Tabulka1[[#This Row],[typ]]="02 - výdej",Tabulka1[[#This Row],[rozpočet]]*(-1),Tabulka1[[#This Row],[rozpočet]]*1)</f>
        <v>1</v>
      </c>
    </row>
    <row r="24" spans="1:10" hidden="1" x14ac:dyDescent="0.25">
      <c r="A24" t="s">
        <v>482</v>
      </c>
      <c r="B24">
        <v>3639</v>
      </c>
      <c r="C24">
        <v>2131</v>
      </c>
      <c r="D24" s="34">
        <v>100</v>
      </c>
      <c r="E24" t="s">
        <v>105</v>
      </c>
      <c r="G24" t="str">
        <f>VLOOKUP(Tabulka1[[#This Row],[paragraf]],paragrafy!A:C,3,0)</f>
        <v>3639 - Komunální služby a územní rozvoj j.n.</v>
      </c>
      <c r="H24" t="str">
        <f>VLOOKUP(Tabulka1[[#This Row],[položka]],položky!A:C,3,0)</f>
        <v xml:space="preserve">2131 - Příjmy z pronájmu pozemků
</v>
      </c>
      <c r="I24" t="str">
        <f>Tabulka1[[#This Row],[paragraf]]&amp;"  "&amp;Tabulka1[[#This Row],[položka+název.položky]]</f>
        <v xml:space="preserve">3639  2131 - Příjmy z pronájmu pozemků
</v>
      </c>
      <c r="J24">
        <f>IF(Tabulka1[[#This Row],[typ]]="02 - výdej",Tabulka1[[#This Row],[rozpočet]]*(-1),Tabulka1[[#This Row],[rozpočet]]*1)</f>
        <v>100</v>
      </c>
    </row>
    <row r="25" spans="1:10" hidden="1" x14ac:dyDescent="0.25">
      <c r="A25" t="s">
        <v>482</v>
      </c>
      <c r="B25">
        <v>3639</v>
      </c>
      <c r="C25">
        <v>2131</v>
      </c>
      <c r="D25" s="34">
        <v>343</v>
      </c>
      <c r="E25" t="s">
        <v>109</v>
      </c>
      <c r="G25" t="str">
        <f>VLOOKUP(Tabulka1[[#This Row],[paragraf]],paragrafy!A:C,3,0)</f>
        <v>3639 - Komunální služby a územní rozvoj j.n.</v>
      </c>
      <c r="H25" t="str">
        <f>VLOOKUP(Tabulka1[[#This Row],[položka]],položky!A:C,3,0)</f>
        <v xml:space="preserve">2131 - Příjmy z pronájmu pozemků
</v>
      </c>
      <c r="I25" t="str">
        <f>Tabulka1[[#This Row],[paragraf]]&amp;"  "&amp;Tabulka1[[#This Row],[položka+název.položky]]</f>
        <v xml:space="preserve">3639  2131 - Příjmy z pronájmu pozemků
</v>
      </c>
      <c r="J25">
        <f>IF(Tabulka1[[#This Row],[typ]]="02 - výdej",Tabulka1[[#This Row],[rozpočet]]*(-1),Tabulka1[[#This Row],[rozpočet]]*1)</f>
        <v>343</v>
      </c>
    </row>
    <row r="26" spans="1:10" hidden="1" x14ac:dyDescent="0.25">
      <c r="A26" t="s">
        <v>482</v>
      </c>
      <c r="B26">
        <v>3639</v>
      </c>
      <c r="C26">
        <v>2131</v>
      </c>
      <c r="D26" s="34">
        <v>3323</v>
      </c>
      <c r="E26" t="s">
        <v>108</v>
      </c>
      <c r="G26" t="str">
        <f>VLOOKUP(Tabulka1[[#This Row],[paragraf]],paragrafy!A:C,3,0)</f>
        <v>3639 - Komunální služby a územní rozvoj j.n.</v>
      </c>
      <c r="H26" t="str">
        <f>VLOOKUP(Tabulka1[[#This Row],[položka]],položky!A:C,3,0)</f>
        <v xml:space="preserve">2131 - Příjmy z pronájmu pozemků
</v>
      </c>
      <c r="I26" t="str">
        <f>Tabulka1[[#This Row],[paragraf]]&amp;"  "&amp;Tabulka1[[#This Row],[položka+název.položky]]</f>
        <v xml:space="preserve">3639  2131 - Příjmy z pronájmu pozemků
</v>
      </c>
      <c r="J26">
        <f>IF(Tabulka1[[#This Row],[typ]]="02 - výdej",Tabulka1[[#This Row],[rozpočet]]*(-1),Tabulka1[[#This Row],[rozpočet]]*1)</f>
        <v>3323</v>
      </c>
    </row>
    <row r="27" spans="1:10" hidden="1" x14ac:dyDescent="0.25">
      <c r="A27" t="s">
        <v>482</v>
      </c>
      <c r="B27">
        <v>3639</v>
      </c>
      <c r="C27">
        <v>2131</v>
      </c>
      <c r="D27" s="34">
        <v>12209</v>
      </c>
      <c r="E27" t="s">
        <v>104</v>
      </c>
      <c r="G27" t="str">
        <f>VLOOKUP(Tabulka1[[#This Row],[paragraf]],paragrafy!A:C,3,0)</f>
        <v>3639 - Komunální služby a územní rozvoj j.n.</v>
      </c>
      <c r="H27" t="str">
        <f>VLOOKUP(Tabulka1[[#This Row],[položka]],položky!A:C,3,0)</f>
        <v xml:space="preserve">2131 - Příjmy z pronájmu pozemků
</v>
      </c>
      <c r="I27" t="str">
        <f>Tabulka1[[#This Row],[paragraf]]&amp;"  "&amp;Tabulka1[[#This Row],[položka+název.položky]]</f>
        <v xml:space="preserve">3639  2131 - Příjmy z pronájmu pozemků
</v>
      </c>
      <c r="J27">
        <f>IF(Tabulka1[[#This Row],[typ]]="02 - výdej",Tabulka1[[#This Row],[rozpočet]]*(-1),Tabulka1[[#This Row],[rozpočet]]*1)</f>
        <v>12209</v>
      </c>
    </row>
    <row r="28" spans="1:10" hidden="1" x14ac:dyDescent="0.25">
      <c r="A28" t="s">
        <v>482</v>
      </c>
      <c r="B28">
        <v>3639</v>
      </c>
      <c r="C28">
        <v>2131</v>
      </c>
      <c r="D28" s="34">
        <v>113507</v>
      </c>
      <c r="E28" t="s">
        <v>113</v>
      </c>
      <c r="G28" t="str">
        <f>VLOOKUP(Tabulka1[[#This Row],[paragraf]],paragrafy!A:C,3,0)</f>
        <v>3639 - Komunální služby a územní rozvoj j.n.</v>
      </c>
      <c r="H28" t="str">
        <f>VLOOKUP(Tabulka1[[#This Row],[položka]],položky!A:C,3,0)</f>
        <v xml:space="preserve">2131 - Příjmy z pronájmu pozemků
</v>
      </c>
      <c r="I28" t="str">
        <f>Tabulka1[[#This Row],[paragraf]]&amp;"  "&amp;Tabulka1[[#This Row],[položka+název.položky]]</f>
        <v xml:space="preserve">3639  2131 - Příjmy z pronájmu pozemků
</v>
      </c>
      <c r="J28">
        <f>IF(Tabulka1[[#This Row],[typ]]="02 - výdej",Tabulka1[[#This Row],[rozpočet]]*(-1),Tabulka1[[#This Row],[rozpočet]]*1)</f>
        <v>113507</v>
      </c>
    </row>
    <row r="29" spans="1:10" hidden="1" x14ac:dyDescent="0.25">
      <c r="A29" t="s">
        <v>482</v>
      </c>
      <c r="B29">
        <v>3725</v>
      </c>
      <c r="C29">
        <v>2324</v>
      </c>
      <c r="D29" s="34">
        <f>35000*4</f>
        <v>140000</v>
      </c>
      <c r="E29" t="s">
        <v>114</v>
      </c>
      <c r="G29" t="str">
        <f>VLOOKUP(Tabulka1[[#This Row],[paragraf]],paragrafy!A:C,3,0)</f>
        <v xml:space="preserve">3725 - Využívání a zneškodňování komun.odpadů
</v>
      </c>
      <c r="H29" t="str">
        <f>VLOOKUP(Tabulka1[[#This Row],[položka]],položky!A:C,3,0)</f>
        <v xml:space="preserve">2324 - Přijaté nekapitálové příspěvky a náhrady
</v>
      </c>
      <c r="I29" t="str">
        <f>Tabulka1[[#This Row],[paragraf]]&amp;"  "&amp;Tabulka1[[#This Row],[položka+název.položky]]</f>
        <v xml:space="preserve">3725  2324 - Přijaté nekapitálové příspěvky a náhrady
</v>
      </c>
      <c r="J29">
        <f>IF(Tabulka1[[#This Row],[typ]]="02 - výdej",Tabulka1[[#This Row],[rozpočet]]*(-1),Tabulka1[[#This Row],[rozpočet]]*1)</f>
        <v>140000</v>
      </c>
    </row>
    <row r="30" spans="1:10" hidden="1" x14ac:dyDescent="0.25">
      <c r="A30" t="s">
        <v>482</v>
      </c>
      <c r="B30">
        <v>6171</v>
      </c>
      <c r="C30">
        <v>2111</v>
      </c>
      <c r="D30" s="34">
        <v>5000</v>
      </c>
      <c r="E30" t="s">
        <v>447</v>
      </c>
      <c r="G30" t="str">
        <f>VLOOKUP(Tabulka1[[#This Row],[paragraf]],paragrafy!A:C,3,0)</f>
        <v xml:space="preserve">6171 - Činnost místní správy
</v>
      </c>
      <c r="H30" t="str">
        <f>VLOOKUP(Tabulka1[[#This Row],[položka]],položky!A:C,3,0)</f>
        <v xml:space="preserve">2111 - Příjmy z poskytování služeb a výrobků
</v>
      </c>
      <c r="I30" t="str">
        <f>Tabulka1[[#This Row],[paragraf]]&amp;"  "&amp;Tabulka1[[#This Row],[položka+název.položky]]</f>
        <v xml:space="preserve">6171  2111 - Příjmy z poskytování služeb a výrobků
</v>
      </c>
      <c r="J30">
        <f>IF(Tabulka1[[#This Row],[typ]]="02 - výdej",Tabulka1[[#This Row],[rozpočet]]*(-1),Tabulka1[[#This Row],[rozpočet]]*1)</f>
        <v>5000</v>
      </c>
    </row>
    <row r="31" spans="1:10" hidden="1" x14ac:dyDescent="0.25">
      <c r="A31" t="s">
        <v>482</v>
      </c>
      <c r="B31">
        <v>6310</v>
      </c>
      <c r="C31">
        <v>2141</v>
      </c>
      <c r="D31" s="34">
        <v>1500</v>
      </c>
      <c r="E31" t="s">
        <v>447</v>
      </c>
      <c r="G31" t="str">
        <f>VLOOKUP(Tabulka1[[#This Row],[paragraf]],paragrafy!A:C,3,0)</f>
        <v xml:space="preserve">6310 - Obecné příjmy a výdaje z finančních operací
</v>
      </c>
      <c r="H31" t="str">
        <f>VLOOKUP(Tabulka1[[#This Row],[položka]],položky!A:C,3,0)</f>
        <v xml:space="preserve">2141 - Příjmy z úroků (část)
</v>
      </c>
      <c r="I31" t="str">
        <f>Tabulka1[[#This Row],[paragraf]]&amp;"  "&amp;Tabulka1[[#This Row],[položka+název.položky]]</f>
        <v xml:space="preserve">6310  2141 - Příjmy z úroků (část)
</v>
      </c>
      <c r="J31">
        <f>IF(Tabulka1[[#This Row],[typ]]="02 - výdej",Tabulka1[[#This Row],[rozpočet]]*(-1),Tabulka1[[#This Row],[rozpočet]]*1)</f>
        <v>1500</v>
      </c>
    </row>
    <row r="32" spans="1:10" hidden="1" x14ac:dyDescent="0.25">
      <c r="A32" t="s">
        <v>483</v>
      </c>
      <c r="B32">
        <v>1032</v>
      </c>
      <c r="C32">
        <v>5021</v>
      </c>
      <c r="D32" s="34">
        <v>10000</v>
      </c>
      <c r="E32" t="s">
        <v>447</v>
      </c>
      <c r="G32" t="str">
        <f>VLOOKUP(Tabulka1[[#This Row],[paragraf]],paragrafy!A:C,3,0)</f>
        <v>1032 - Podpora ostatních produkčních činností</v>
      </c>
      <c r="H32" t="str">
        <f>VLOOKUP(Tabulka1[[#This Row],[položka]],položky!A:C,3,0)</f>
        <v xml:space="preserve">5021 - Ostatní osobní výdaje
</v>
      </c>
      <c r="I32" t="str">
        <f>Tabulka1[[#This Row],[paragraf]]&amp;"  "&amp;Tabulka1[[#This Row],[položka+název.položky]]</f>
        <v xml:space="preserve">1032  5021 - Ostatní osobní výdaje
</v>
      </c>
      <c r="J32">
        <f>IF(Tabulka1[[#This Row],[typ]]="02 - výdej",Tabulka1[[#This Row],[rozpočet]]*(-1),Tabulka1[[#This Row],[rozpočet]]*1)</f>
        <v>-10000</v>
      </c>
    </row>
    <row r="33" spans="1:10" hidden="1" x14ac:dyDescent="0.25">
      <c r="A33" t="s">
        <v>483</v>
      </c>
      <c r="B33">
        <v>1032</v>
      </c>
      <c r="C33">
        <v>5169</v>
      </c>
      <c r="D33" s="34">
        <f>20000+30000</f>
        <v>50000</v>
      </c>
      <c r="E33" t="s">
        <v>447</v>
      </c>
      <c r="G33" t="str">
        <f>VLOOKUP(Tabulka1[[#This Row],[paragraf]],paragrafy!A:C,3,0)</f>
        <v>1032 - Podpora ostatních produkčních činností</v>
      </c>
      <c r="H33" t="str">
        <f>VLOOKUP(Tabulka1[[#This Row],[položka]],položky!A:C,3,0)</f>
        <v xml:space="preserve">5169 - Nákup ostatních služeb
</v>
      </c>
      <c r="I33" t="str">
        <f>Tabulka1[[#This Row],[paragraf]]&amp;"  "&amp;Tabulka1[[#This Row],[položka+název.položky]]</f>
        <v xml:space="preserve">1032  5169 - Nákup ostatních služeb
</v>
      </c>
      <c r="J33">
        <f>IF(Tabulka1[[#This Row],[typ]]="02 - výdej",Tabulka1[[#This Row],[rozpočet]]*(-1),Tabulka1[[#This Row],[rozpočet]]*1)</f>
        <v>-50000</v>
      </c>
    </row>
    <row r="34" spans="1:10" hidden="1" x14ac:dyDescent="0.25">
      <c r="A34" t="s">
        <v>483</v>
      </c>
      <c r="B34">
        <v>2219</v>
      </c>
      <c r="C34">
        <v>5169</v>
      </c>
      <c r="D34" s="34">
        <v>20000</v>
      </c>
      <c r="E34" t="s">
        <v>304</v>
      </c>
      <c r="G34" s="50" t="str">
        <f>VLOOKUP(Tabulka1[[#This Row],[paragraf]],paragrafy!A:C,3,0)</f>
        <v xml:space="preserve">2219 - Ostatní záležitosti pozemních komunikací
</v>
      </c>
      <c r="H34" s="50" t="str">
        <f>VLOOKUP(Tabulka1[[#This Row],[položka]],položky!A:C,3,0)</f>
        <v xml:space="preserve">5169 - Nákup ostatních služeb
</v>
      </c>
      <c r="I34" s="50" t="str">
        <f>Tabulka1[[#This Row],[paragraf]]&amp;"  "&amp;Tabulka1[[#This Row],[položka+název.položky]]</f>
        <v xml:space="preserve">2219  5169 - Nákup ostatních služeb
</v>
      </c>
      <c r="J34" s="50">
        <f>IF(Tabulka1[[#This Row],[typ]]="02 - výdej",Tabulka1[[#This Row],[rozpočet]]*(-1),Tabulka1[[#This Row],[rozpočet]]*1)</f>
        <v>-20000</v>
      </c>
    </row>
    <row r="35" spans="1:10" hidden="1" x14ac:dyDescent="0.25">
      <c r="A35" t="s">
        <v>483</v>
      </c>
      <c r="B35">
        <v>3319</v>
      </c>
      <c r="C35">
        <v>5139</v>
      </c>
      <c r="D35" s="34">
        <v>10000</v>
      </c>
      <c r="E35" t="s">
        <v>502</v>
      </c>
      <c r="G35" s="50" t="str">
        <f>VLOOKUP(Tabulka1[[#This Row],[paragraf]],paragrafy!A:C,3,0)</f>
        <v xml:space="preserve">3319 - Ostatní záležitosti kultury
</v>
      </c>
      <c r="H35" s="50" t="str">
        <f>VLOOKUP(Tabulka1[[#This Row],[položka]],položky!A:C,3,0)</f>
        <v xml:space="preserve">5139 - Nákup materiálu j.n.
</v>
      </c>
      <c r="I35" s="50" t="str">
        <f>Tabulka1[[#This Row],[paragraf]]&amp;"  "&amp;Tabulka1[[#This Row],[položka+název.položky]]</f>
        <v xml:space="preserve">3319  5139 - Nákup materiálu j.n.
</v>
      </c>
      <c r="J35" s="50">
        <f>IF(Tabulka1[[#This Row],[typ]]="02 - výdej",Tabulka1[[#This Row],[rozpočet]]*(-1),Tabulka1[[#This Row],[rozpočet]]*1)</f>
        <v>-10000</v>
      </c>
    </row>
    <row r="36" spans="1:10" hidden="1" x14ac:dyDescent="0.25">
      <c r="A36" t="s">
        <v>483</v>
      </c>
      <c r="B36">
        <v>2219</v>
      </c>
      <c r="C36">
        <v>5171</v>
      </c>
      <c r="D36" s="34">
        <v>100000</v>
      </c>
      <c r="E36" t="s">
        <v>493</v>
      </c>
      <c r="G36" s="50" t="str">
        <f>VLOOKUP(Tabulka1[[#This Row],[paragraf]],paragrafy!A:C,3,0)</f>
        <v xml:space="preserve">2219 - Ostatní záležitosti pozemních komunikací
</v>
      </c>
      <c r="H36" s="50" t="str">
        <f>VLOOKUP(Tabulka1[[#This Row],[položka]],položky!A:C,3,0)</f>
        <v xml:space="preserve">5171 - Opravy a udržování
</v>
      </c>
      <c r="I36" s="50" t="str">
        <f>Tabulka1[[#This Row],[paragraf]]&amp;"  "&amp;Tabulka1[[#This Row],[položka+název.položky]]</f>
        <v xml:space="preserve">2219  5171 - Opravy a udržování
</v>
      </c>
      <c r="J36" s="50">
        <f>IF(Tabulka1[[#This Row],[typ]]="02 - výdej",Tabulka1[[#This Row],[rozpočet]]*(-1),Tabulka1[[#This Row],[rozpočet]]*1)</f>
        <v>-100000</v>
      </c>
    </row>
    <row r="37" spans="1:10" hidden="1" x14ac:dyDescent="0.25">
      <c r="A37" t="s">
        <v>483</v>
      </c>
      <c r="B37">
        <v>2219</v>
      </c>
      <c r="C37">
        <v>6121</v>
      </c>
      <c r="D37" s="34">
        <v>200000</v>
      </c>
      <c r="E37" t="s">
        <v>494</v>
      </c>
      <c r="G37" s="50" t="str">
        <f>VLOOKUP(Tabulka1[[#This Row],[paragraf]],paragrafy!A:C,3,0)</f>
        <v xml:space="preserve">2219 - Ostatní záležitosti pozemních komunikací
</v>
      </c>
      <c r="H37" s="50" t="str">
        <f>VLOOKUP(Tabulka1[[#This Row],[položka]],položky!A:C,3,0)</f>
        <v xml:space="preserve">6121 - Budovy, haly a stavby
</v>
      </c>
      <c r="I37" s="50" t="str">
        <f>Tabulka1[[#This Row],[paragraf]]&amp;"  "&amp;Tabulka1[[#This Row],[položka+název.položky]]</f>
        <v xml:space="preserve">2219  6121 - Budovy, haly a stavby
</v>
      </c>
      <c r="J37" s="50">
        <f>IF(Tabulka1[[#This Row],[typ]]="02 - výdej",Tabulka1[[#This Row],[rozpočet]]*(-1),Tabulka1[[#This Row],[rozpočet]]*1)</f>
        <v>-200000</v>
      </c>
    </row>
    <row r="38" spans="1:10" hidden="1" x14ac:dyDescent="0.25">
      <c r="A38" t="s">
        <v>483</v>
      </c>
      <c r="B38">
        <v>2219</v>
      </c>
      <c r="C38">
        <v>5171</v>
      </c>
      <c r="D38" s="34">
        <v>1500000</v>
      </c>
      <c r="E38" t="s">
        <v>302</v>
      </c>
      <c r="G38" s="50" t="str">
        <f>VLOOKUP(Tabulka1[[#This Row],[paragraf]],paragrafy!A:C,3,0)</f>
        <v xml:space="preserve">2219 - Ostatní záležitosti pozemních komunikací
</v>
      </c>
      <c r="H38" s="50" t="str">
        <f>VLOOKUP(Tabulka1[[#This Row],[položka]],položky!A:C,3,0)</f>
        <v xml:space="preserve">5171 - Opravy a udržování
</v>
      </c>
      <c r="I38" s="50" t="str">
        <f>Tabulka1[[#This Row],[paragraf]]&amp;"  "&amp;Tabulka1[[#This Row],[položka+název.položky]]</f>
        <v xml:space="preserve">2219  5171 - Opravy a udržování
</v>
      </c>
      <c r="J38" s="50">
        <f>IF(Tabulka1[[#This Row],[typ]]="02 - výdej",Tabulka1[[#This Row],[rozpočet]]*(-1),Tabulka1[[#This Row],[rozpočet]]*1)</f>
        <v>-1500000</v>
      </c>
    </row>
    <row r="39" spans="1:10" hidden="1" x14ac:dyDescent="0.25">
      <c r="A39" t="s">
        <v>483</v>
      </c>
      <c r="B39">
        <v>2219</v>
      </c>
      <c r="C39">
        <v>6121</v>
      </c>
      <c r="D39" s="34">
        <v>80000</v>
      </c>
      <c r="E39" t="s">
        <v>495</v>
      </c>
      <c r="G39" s="50" t="str">
        <f>VLOOKUP(Tabulka1[[#This Row],[paragraf]],paragrafy!A:C,3,0)</f>
        <v xml:space="preserve">2219 - Ostatní záležitosti pozemních komunikací
</v>
      </c>
      <c r="H39" s="50" t="str">
        <f>VLOOKUP(Tabulka1[[#This Row],[položka]],položky!A:C,3,0)</f>
        <v xml:space="preserve">6121 - Budovy, haly a stavby
</v>
      </c>
      <c r="I39" s="50" t="str">
        <f>Tabulka1[[#This Row],[paragraf]]&amp;"  "&amp;Tabulka1[[#This Row],[položka+název.položky]]</f>
        <v xml:space="preserve">2219  6121 - Budovy, haly a stavby
</v>
      </c>
      <c r="J39" s="50">
        <f>IF(Tabulka1[[#This Row],[typ]]="02 - výdej",Tabulka1[[#This Row],[rozpočet]]*(-1),Tabulka1[[#This Row],[rozpočet]]*1)</f>
        <v>-80000</v>
      </c>
    </row>
    <row r="40" spans="1:10" hidden="1" x14ac:dyDescent="0.25">
      <c r="A40" t="s">
        <v>483</v>
      </c>
      <c r="B40">
        <v>2219</v>
      </c>
      <c r="C40">
        <v>6121</v>
      </c>
      <c r="D40" s="34">
        <v>150000</v>
      </c>
      <c r="E40" t="s">
        <v>303</v>
      </c>
      <c r="G40" s="50" t="str">
        <f>VLOOKUP(Tabulka1[[#This Row],[paragraf]],paragrafy!A:C,3,0)</f>
        <v xml:space="preserve">2219 - Ostatní záležitosti pozemních komunikací
</v>
      </c>
      <c r="H40" s="50" t="str">
        <f>VLOOKUP(Tabulka1[[#This Row],[položka]],položky!A:C,3,0)</f>
        <v xml:space="preserve">6121 - Budovy, haly a stavby
</v>
      </c>
      <c r="I40" s="50" t="str">
        <f>Tabulka1[[#This Row],[paragraf]]&amp;"  "&amp;Tabulka1[[#This Row],[položka+název.položky]]</f>
        <v xml:space="preserve">2219  6121 - Budovy, haly a stavby
</v>
      </c>
      <c r="J40" s="50">
        <f>IF(Tabulka1[[#This Row],[typ]]="02 - výdej",Tabulka1[[#This Row],[rozpočet]]*(-1),Tabulka1[[#This Row],[rozpočet]]*1)</f>
        <v>-150000</v>
      </c>
    </row>
    <row r="41" spans="1:10" x14ac:dyDescent="0.25">
      <c r="A41" t="s">
        <v>482</v>
      </c>
      <c r="B41">
        <v>2321</v>
      </c>
      <c r="C41">
        <v>2111</v>
      </c>
      <c r="D41" s="34">
        <v>0</v>
      </c>
      <c r="E41" t="s">
        <v>476</v>
      </c>
      <c r="G41" s="50" t="str">
        <f>VLOOKUP(Tabulka1[[#This Row],[paragraf]],paragrafy!A:C,3,0)</f>
        <v xml:space="preserve">2321 - Odvádění a čištění odpadních vod a nakl.s kaly
</v>
      </c>
      <c r="H41" s="50" t="str">
        <f>VLOOKUP(Tabulka1[[#This Row],[položka]],položky!A:C,3,0)</f>
        <v xml:space="preserve">2111 - Příjmy z poskytování služeb a výrobků
</v>
      </c>
      <c r="I41" s="50" t="str">
        <f>Tabulka1[[#This Row],[paragraf]]&amp;"  "&amp;Tabulka1[[#This Row],[položka+název.položky]]</f>
        <v xml:space="preserve">2321  2111 - Příjmy z poskytování služeb a výrobků
</v>
      </c>
      <c r="J41" s="50">
        <f>IF(Tabulka1[[#This Row],[typ]]="02 - výdej",Tabulka1[[#This Row],[rozpočet]]*(-1),Tabulka1[[#This Row],[rozpočet]]*1)</f>
        <v>0</v>
      </c>
    </row>
    <row r="42" spans="1:10" hidden="1" x14ac:dyDescent="0.25">
      <c r="A42" t="s">
        <v>483</v>
      </c>
      <c r="B42">
        <v>2292</v>
      </c>
      <c r="C42">
        <v>5323</v>
      </c>
      <c r="D42" s="34">
        <v>45000</v>
      </c>
      <c r="E42" t="s">
        <v>447</v>
      </c>
      <c r="G42" t="str">
        <f>VLOOKUP(Tabulka1[[#This Row],[paragraf]],paragrafy!A:C,3,0)</f>
        <v>2292 - Dopravní obslužnost veř. Službami</v>
      </c>
      <c r="H42" t="str">
        <f>VLOOKUP(Tabulka1[[#This Row],[položka]],položky!A:C,3,0)</f>
        <v>5323 - Neinvestiční transféry krajům</v>
      </c>
      <c r="I42" t="str">
        <f>Tabulka1[[#This Row],[paragraf]]&amp;"  "&amp;Tabulka1[[#This Row],[položka+název.položky]]</f>
        <v>2292  5323 - Neinvestiční transféry krajům</v>
      </c>
      <c r="J42">
        <f>IF(Tabulka1[[#This Row],[typ]]="02 - výdej",Tabulka1[[#This Row],[rozpočet]]*(-1),Tabulka1[[#This Row],[rozpočet]]*1)</f>
        <v>-45000</v>
      </c>
    </row>
    <row r="43" spans="1:10" hidden="1" x14ac:dyDescent="0.25">
      <c r="A43" t="s">
        <v>483</v>
      </c>
      <c r="B43">
        <v>2321</v>
      </c>
      <c r="C43">
        <v>5141</v>
      </c>
      <c r="D43" s="34">
        <f>F43*12</f>
        <v>144000</v>
      </c>
      <c r="E43" t="s">
        <v>467</v>
      </c>
      <c r="F43" s="34">
        <v>12000</v>
      </c>
      <c r="G43" s="50" t="str">
        <f>VLOOKUP(Tabulka1[[#This Row],[paragraf]],paragrafy!A:C,3,0)</f>
        <v xml:space="preserve">2321 - Odvádění a čištění odpadních vod a nakl.s kaly
</v>
      </c>
      <c r="H43" s="50" t="str">
        <f>VLOOKUP(Tabulka1[[#This Row],[položka]],položky!A:C,3,0)</f>
        <v xml:space="preserve">5141 - Úroky vlastní
</v>
      </c>
      <c r="I43" s="50" t="str">
        <f>Tabulka1[[#This Row],[paragraf]]&amp;"  "&amp;Tabulka1[[#This Row],[položka+název.položky]]</f>
        <v xml:space="preserve">2321  5141 - Úroky vlastní
</v>
      </c>
      <c r="J43" s="50">
        <f>IF(Tabulka1[[#This Row],[typ]]="02 - výdej",Tabulka1[[#This Row],[rozpočet]]*(-1),Tabulka1[[#This Row],[rozpočet]]*1)</f>
        <v>-144000</v>
      </c>
    </row>
    <row r="44" spans="1:10" hidden="1" x14ac:dyDescent="0.25">
      <c r="A44" t="s">
        <v>483</v>
      </c>
      <c r="B44">
        <v>2321</v>
      </c>
      <c r="C44">
        <v>5154</v>
      </c>
      <c r="D44" s="34">
        <f>F44*12</f>
        <v>3600</v>
      </c>
      <c r="E44" t="s">
        <v>460</v>
      </c>
      <c r="F44" s="34">
        <v>300</v>
      </c>
      <c r="G44" s="50" t="str">
        <f>VLOOKUP(Tabulka1[[#This Row],[paragraf]],paragrafy!A:C,3,0)</f>
        <v xml:space="preserve">2321 - Odvádění a čištění odpadních vod a nakl.s kaly
</v>
      </c>
      <c r="H44" s="50" t="str">
        <f>VLOOKUP(Tabulka1[[#This Row],[položka]],položky!A:C,3,0)</f>
        <v xml:space="preserve">5154 - Elektrická energie
</v>
      </c>
      <c r="I44" s="50" t="str">
        <f>Tabulka1[[#This Row],[paragraf]]&amp;"  "&amp;Tabulka1[[#This Row],[položka+název.položky]]</f>
        <v xml:space="preserve">2321  5154 - Elektrická energie
</v>
      </c>
      <c r="J44" s="50">
        <f>IF(Tabulka1[[#This Row],[typ]]="02 - výdej",Tabulka1[[#This Row],[rozpočet]]*(-1),Tabulka1[[#This Row],[rozpočet]]*1)</f>
        <v>-3600</v>
      </c>
    </row>
    <row r="45" spans="1:10" hidden="1" x14ac:dyDescent="0.25">
      <c r="A45" t="s">
        <v>483</v>
      </c>
      <c r="B45">
        <v>2321</v>
      </c>
      <c r="C45">
        <v>5154</v>
      </c>
      <c r="D45" s="34">
        <f>F45*12</f>
        <v>6000</v>
      </c>
      <c r="E45" t="s">
        <v>85</v>
      </c>
      <c r="F45" s="34">
        <v>500</v>
      </c>
      <c r="G45" t="str">
        <f>VLOOKUP(Tabulka1[[#This Row],[paragraf]],paragrafy!A:C,3,0)</f>
        <v xml:space="preserve">2321 - Odvádění a čištění odpadních vod a nakl.s kaly
</v>
      </c>
      <c r="H45" t="str">
        <f>VLOOKUP(Tabulka1[[#This Row],[položka]],položky!A:C,3,0)</f>
        <v xml:space="preserve">5154 - Elektrická energie
</v>
      </c>
      <c r="I45" t="str">
        <f>Tabulka1[[#This Row],[paragraf]]&amp;"  "&amp;Tabulka1[[#This Row],[položka+název.položky]]</f>
        <v xml:space="preserve">2321  5154 - Elektrická energie
</v>
      </c>
      <c r="J45">
        <f>IF(Tabulka1[[#This Row],[typ]]="02 - výdej",Tabulka1[[#This Row],[rozpočet]]*(-1),Tabulka1[[#This Row],[rozpočet]]*1)</f>
        <v>-6000</v>
      </c>
    </row>
    <row r="46" spans="1:10" hidden="1" x14ac:dyDescent="0.25">
      <c r="A46" t="s">
        <v>483</v>
      </c>
      <c r="B46">
        <v>2321</v>
      </c>
      <c r="C46">
        <v>5154</v>
      </c>
      <c r="D46" s="34">
        <f>F46*12</f>
        <v>6000</v>
      </c>
      <c r="E46" t="s">
        <v>461</v>
      </c>
      <c r="F46" s="34">
        <v>500</v>
      </c>
      <c r="G46" s="50" t="str">
        <f>VLOOKUP(Tabulka1[[#This Row],[paragraf]],paragrafy!A:C,3,0)</f>
        <v xml:space="preserve">2321 - Odvádění a čištění odpadních vod a nakl.s kaly
</v>
      </c>
      <c r="H46" s="50" t="str">
        <f>VLOOKUP(Tabulka1[[#This Row],[položka]],položky!A:C,3,0)</f>
        <v xml:space="preserve">5154 - Elektrická energie
</v>
      </c>
      <c r="I46" s="50" t="str">
        <f>Tabulka1[[#This Row],[paragraf]]&amp;"  "&amp;Tabulka1[[#This Row],[položka+název.položky]]</f>
        <v xml:space="preserve">2321  5154 - Elektrická energie
</v>
      </c>
      <c r="J46" s="50">
        <f>IF(Tabulka1[[#This Row],[typ]]="02 - výdej",Tabulka1[[#This Row],[rozpočet]]*(-1),Tabulka1[[#This Row],[rozpočet]]*1)</f>
        <v>-6000</v>
      </c>
    </row>
    <row r="47" spans="1:10" hidden="1" x14ac:dyDescent="0.25">
      <c r="A47" t="s">
        <v>483</v>
      </c>
      <c r="B47">
        <v>2321</v>
      </c>
      <c r="C47">
        <v>5154</v>
      </c>
      <c r="D47" s="34">
        <f>F47*12</f>
        <v>9120</v>
      </c>
      <c r="E47" t="s">
        <v>84</v>
      </c>
      <c r="F47" s="34">
        <v>760</v>
      </c>
      <c r="G47" t="str">
        <f>VLOOKUP(Tabulka1[[#This Row],[paragraf]],paragrafy!A:C,3,0)</f>
        <v xml:space="preserve">2321 - Odvádění a čištění odpadních vod a nakl.s kaly
</v>
      </c>
      <c r="H47" t="str">
        <f>VLOOKUP(Tabulka1[[#This Row],[položka]],položky!A:C,3,0)</f>
        <v xml:space="preserve">5154 - Elektrická energie
</v>
      </c>
      <c r="I47" t="str">
        <f>Tabulka1[[#This Row],[paragraf]]&amp;"  "&amp;Tabulka1[[#This Row],[položka+název.položky]]</f>
        <v xml:space="preserve">2321  5154 - Elektrická energie
</v>
      </c>
      <c r="J47">
        <f>IF(Tabulka1[[#This Row],[typ]]="02 - výdej",Tabulka1[[#This Row],[rozpočet]]*(-1),Tabulka1[[#This Row],[rozpočet]]*1)</f>
        <v>-9120</v>
      </c>
    </row>
    <row r="48" spans="1:10" hidden="1" x14ac:dyDescent="0.25">
      <c r="A48" t="s">
        <v>483</v>
      </c>
      <c r="B48">
        <v>2321</v>
      </c>
      <c r="C48">
        <v>5169</v>
      </c>
      <c r="D48" s="34">
        <v>100000</v>
      </c>
      <c r="E48" t="s">
        <v>496</v>
      </c>
      <c r="G48" t="str">
        <f>VLOOKUP(Tabulka1[[#This Row],[paragraf]],paragrafy!A:C,3,0)</f>
        <v xml:space="preserve">2321 - Odvádění a čištění odpadních vod a nakl.s kaly
</v>
      </c>
      <c r="H48" t="str">
        <f>VLOOKUP(Tabulka1[[#This Row],[položka]],položky!A:C,3,0)</f>
        <v xml:space="preserve">5169 - Nákup ostatních služeb
</v>
      </c>
      <c r="I48" t="str">
        <f>Tabulka1[[#This Row],[paragraf]]&amp;"  "&amp;Tabulka1[[#This Row],[položka+název.položky]]</f>
        <v xml:space="preserve">2321  5169 - Nákup ostatních služeb
</v>
      </c>
      <c r="J48">
        <f>IF(Tabulka1[[#This Row],[typ]]="02 - výdej",Tabulka1[[#This Row],[rozpočet]]*(-1),Tabulka1[[#This Row],[rozpočet]]*1)</f>
        <v>-100000</v>
      </c>
    </row>
    <row r="49" spans="1:10" hidden="1" x14ac:dyDescent="0.25">
      <c r="A49" t="s">
        <v>483</v>
      </c>
      <c r="B49">
        <v>2321</v>
      </c>
      <c r="C49">
        <v>5169</v>
      </c>
      <c r="D49" s="34">
        <f>F49*12</f>
        <v>14520</v>
      </c>
      <c r="E49" t="s">
        <v>474</v>
      </c>
      <c r="F49" s="34">
        <v>1210</v>
      </c>
      <c r="G49" s="50" t="str">
        <f>VLOOKUP(Tabulka1[[#This Row],[paragraf]],paragrafy!A:C,3,0)</f>
        <v xml:space="preserve">2321 - Odvádění a čištění odpadních vod a nakl.s kaly
</v>
      </c>
      <c r="H49" s="50" t="str">
        <f>VLOOKUP(Tabulka1[[#This Row],[položka]],položky!A:C,3,0)</f>
        <v xml:space="preserve">5169 - Nákup ostatních služeb
</v>
      </c>
      <c r="I49" s="50" t="str">
        <f>Tabulka1[[#This Row],[paragraf]]&amp;"  "&amp;Tabulka1[[#This Row],[položka+název.položky]]</f>
        <v xml:space="preserve">2321  5169 - Nákup ostatních služeb
</v>
      </c>
      <c r="J49" s="50">
        <f>IF(Tabulka1[[#This Row],[typ]]="02 - výdej",Tabulka1[[#This Row],[rozpočet]]*(-1),Tabulka1[[#This Row],[rozpočet]]*1)</f>
        <v>-14520</v>
      </c>
    </row>
    <row r="50" spans="1:10" hidden="1" x14ac:dyDescent="0.25">
      <c r="A50" t="s">
        <v>483</v>
      </c>
      <c r="B50">
        <v>2321</v>
      </c>
      <c r="C50">
        <v>5169</v>
      </c>
      <c r="D50" s="34">
        <f>F50*4</f>
        <v>87120</v>
      </c>
      <c r="E50" t="s">
        <v>475</v>
      </c>
      <c r="F50" s="34">
        <v>21780</v>
      </c>
      <c r="G50" s="50" t="str">
        <f>VLOOKUP(Tabulka1[[#This Row],[paragraf]],paragrafy!A:C,3,0)</f>
        <v xml:space="preserve">2321 - Odvádění a čištění odpadních vod a nakl.s kaly
</v>
      </c>
      <c r="H50" s="50" t="str">
        <f>VLOOKUP(Tabulka1[[#This Row],[položka]],položky!A:C,3,0)</f>
        <v xml:space="preserve">5169 - Nákup ostatních služeb
</v>
      </c>
      <c r="I50" s="50" t="str">
        <f>Tabulka1[[#This Row],[paragraf]]&amp;"  "&amp;Tabulka1[[#This Row],[položka+název.položky]]</f>
        <v xml:space="preserve">2321  5169 - Nákup ostatních služeb
</v>
      </c>
      <c r="J50" s="50">
        <f>IF(Tabulka1[[#This Row],[typ]]="02 - výdej",Tabulka1[[#This Row],[rozpočet]]*(-1),Tabulka1[[#This Row],[rozpočet]]*1)</f>
        <v>-87120</v>
      </c>
    </row>
    <row r="51" spans="1:10" hidden="1" x14ac:dyDescent="0.25">
      <c r="A51" t="s">
        <v>483</v>
      </c>
      <c r="B51">
        <v>2321</v>
      </c>
      <c r="C51">
        <v>5169</v>
      </c>
      <c r="D51" s="34">
        <f>F51*4</f>
        <v>5600</v>
      </c>
      <c r="E51" t="s">
        <v>480</v>
      </c>
      <c r="F51" s="34">
        <v>1400</v>
      </c>
      <c r="G51" s="50" t="str">
        <f>VLOOKUP(Tabulka1[[#This Row],[paragraf]],paragrafy!A:C,3,0)</f>
        <v xml:space="preserve">2321 - Odvádění a čištění odpadních vod a nakl.s kaly
</v>
      </c>
      <c r="H51" s="50" t="str">
        <f>VLOOKUP(Tabulka1[[#This Row],[položka]],položky!A:C,3,0)</f>
        <v xml:space="preserve">5169 - Nákup ostatních služeb
</v>
      </c>
      <c r="I51" s="50" t="str">
        <f>Tabulka1[[#This Row],[paragraf]]&amp;"  "&amp;Tabulka1[[#This Row],[položka+název.položky]]</f>
        <v xml:space="preserve">2321  5169 - Nákup ostatních služeb
</v>
      </c>
      <c r="J51" s="50">
        <f>IF(Tabulka1[[#This Row],[typ]]="02 - výdej",Tabulka1[[#This Row],[rozpočet]]*(-1),Tabulka1[[#This Row],[rozpočet]]*1)</f>
        <v>-5600</v>
      </c>
    </row>
    <row r="52" spans="1:10" hidden="1" x14ac:dyDescent="0.25">
      <c r="A52" t="s">
        <v>483</v>
      </c>
      <c r="B52">
        <v>2321</v>
      </c>
      <c r="C52">
        <v>5171</v>
      </c>
      <c r="D52" s="34">
        <v>150000</v>
      </c>
      <c r="E52" t="s">
        <v>498</v>
      </c>
      <c r="G52" s="50" t="str">
        <f>VLOOKUP(Tabulka1[[#This Row],[paragraf]],paragrafy!A:C,3,0)</f>
        <v xml:space="preserve">2321 - Odvádění a čištění odpadních vod a nakl.s kaly
</v>
      </c>
      <c r="H52" s="50" t="str">
        <f>VLOOKUP(Tabulka1[[#This Row],[položka]],položky!A:C,3,0)</f>
        <v xml:space="preserve">5171 - Opravy a udržování
</v>
      </c>
      <c r="I52" s="50" t="str">
        <f>Tabulka1[[#This Row],[paragraf]]&amp;"  "&amp;Tabulka1[[#This Row],[položka+název.položky]]</f>
        <v xml:space="preserve">2321  5171 - Opravy a udržování
</v>
      </c>
      <c r="J52" s="50">
        <f>IF(Tabulka1[[#This Row],[typ]]="02 - výdej",Tabulka1[[#This Row],[rozpočet]]*(-1),Tabulka1[[#This Row],[rozpočet]]*1)</f>
        <v>-150000</v>
      </c>
    </row>
    <row r="53" spans="1:10" hidden="1" x14ac:dyDescent="0.25">
      <c r="A53" t="s">
        <v>483</v>
      </c>
      <c r="B53">
        <v>2333</v>
      </c>
      <c r="C53">
        <v>5171</v>
      </c>
      <c r="D53" s="34">
        <v>20000</v>
      </c>
      <c r="E53" t="s">
        <v>447</v>
      </c>
      <c r="G53" t="str">
        <f>VLOOKUP(Tabulka1[[#This Row],[paragraf]],paragrafy!A:C,3,0)</f>
        <v>2333 - Úpravy drobných vodních toků</v>
      </c>
      <c r="H53" t="str">
        <f>VLOOKUP(Tabulka1[[#This Row],[položka]],položky!A:C,3,0)</f>
        <v xml:space="preserve">5171 - Opravy a udržování
</v>
      </c>
      <c r="I53" t="str">
        <f>Tabulka1[[#This Row],[paragraf]]&amp;"  "&amp;Tabulka1[[#This Row],[položka+název.položky]]</f>
        <v xml:space="preserve">2333  5171 - Opravy a udržování
</v>
      </c>
      <c r="J53">
        <f>IF(Tabulka1[[#This Row],[typ]]="02 - výdej",Tabulka1[[#This Row],[rozpočet]]*(-1),Tabulka1[[#This Row],[rozpočet]]*1)</f>
        <v>-20000</v>
      </c>
    </row>
    <row r="54" spans="1:10" hidden="1" x14ac:dyDescent="0.25">
      <c r="A54" t="s">
        <v>483</v>
      </c>
      <c r="B54">
        <v>2341</v>
      </c>
      <c r="C54">
        <v>5171</v>
      </c>
      <c r="D54" s="34">
        <v>20000</v>
      </c>
      <c r="E54" t="s">
        <v>447</v>
      </c>
      <c r="G54" t="str">
        <f>VLOOKUP(Tabulka1[[#This Row],[paragraf]],paragrafy!A:C,3,0)</f>
        <v>2341 - Vodní díla v zemědělské krajině</v>
      </c>
      <c r="H54" t="str">
        <f>VLOOKUP(Tabulka1[[#This Row],[položka]],položky!A:C,3,0)</f>
        <v xml:space="preserve">5171 - Opravy a udržování
</v>
      </c>
      <c r="I54" t="str">
        <f>Tabulka1[[#This Row],[paragraf]]&amp;"  "&amp;Tabulka1[[#This Row],[položka+název.položky]]</f>
        <v xml:space="preserve">2341  5171 - Opravy a udržování
</v>
      </c>
      <c r="J54">
        <f>IF(Tabulka1[[#This Row],[typ]]="02 - výdej",Tabulka1[[#This Row],[rozpočet]]*(-1),Tabulka1[[#This Row],[rozpočet]]*1)</f>
        <v>-20000</v>
      </c>
    </row>
    <row r="55" spans="1:10" hidden="1" x14ac:dyDescent="0.25">
      <c r="A55" t="s">
        <v>482</v>
      </c>
      <c r="B55">
        <v>3613</v>
      </c>
      <c r="C55">
        <v>2111</v>
      </c>
      <c r="D55" s="34">
        <v>25000</v>
      </c>
      <c r="E55" t="s">
        <v>447</v>
      </c>
      <c r="G55" t="str">
        <f>VLOOKUP(Tabulka1[[#This Row],[paragraf]],paragrafy!A:C,3,0)</f>
        <v xml:space="preserve">3613 - Nebytové hospodářství
</v>
      </c>
      <c r="H55" t="str">
        <f>VLOOKUP(Tabulka1[[#This Row],[položka]],položky!A:C,3,0)</f>
        <v xml:space="preserve">2111 - Příjmy z poskytování služeb a výrobků
</v>
      </c>
      <c r="I55" t="str">
        <f>Tabulka1[[#This Row],[paragraf]]&amp;"  "&amp;Tabulka1[[#This Row],[položka+název.položky]]</f>
        <v xml:space="preserve">3613  2111 - Příjmy z poskytování služeb a výrobků
</v>
      </c>
      <c r="J55">
        <f>IF(Tabulka1[[#This Row],[typ]]="02 - výdej",Tabulka1[[#This Row],[rozpočet]]*(-1),Tabulka1[[#This Row],[rozpočet]]*1)</f>
        <v>25000</v>
      </c>
    </row>
    <row r="56" spans="1:10" hidden="1" x14ac:dyDescent="0.25">
      <c r="A56" t="s">
        <v>482</v>
      </c>
      <c r="B56">
        <v>3613</v>
      </c>
      <c r="C56">
        <v>2132</v>
      </c>
      <c r="D56" s="34">
        <v>12000</v>
      </c>
      <c r="E56" t="s">
        <v>102</v>
      </c>
      <c r="G56" t="str">
        <f>VLOOKUP(Tabulka1[[#This Row],[paragraf]],paragrafy!A:C,3,0)</f>
        <v xml:space="preserve">3613 - Nebytové hospodářství
</v>
      </c>
      <c r="H56" t="str">
        <f>VLOOKUP(Tabulka1[[#This Row],[položka]],položky!A:C,3,0)</f>
        <v xml:space="preserve">2132 - Přijmy z pronájmu ost. nem. věcí a jejich částí
</v>
      </c>
      <c r="I56" t="str">
        <f>Tabulka1[[#This Row],[paragraf]]&amp;"  "&amp;Tabulka1[[#This Row],[položka+název.položky]]</f>
        <v xml:space="preserve">3613  2132 - Přijmy z pronájmu ost. nem. věcí a jejich částí
</v>
      </c>
      <c r="J56">
        <f>IF(Tabulka1[[#This Row],[typ]]="02 - výdej",Tabulka1[[#This Row],[rozpočet]]*(-1),Tabulka1[[#This Row],[rozpočet]]*1)</f>
        <v>12000</v>
      </c>
    </row>
    <row r="57" spans="1:10" hidden="1" x14ac:dyDescent="0.25">
      <c r="A57" t="s">
        <v>482</v>
      </c>
      <c r="B57">
        <v>3613</v>
      </c>
      <c r="C57">
        <v>2132</v>
      </c>
      <c r="D57" s="34">
        <v>12000</v>
      </c>
      <c r="E57" t="s">
        <v>103</v>
      </c>
      <c r="G57" t="str">
        <f>VLOOKUP(Tabulka1[[#This Row],[paragraf]],paragrafy!A:C,3,0)</f>
        <v xml:space="preserve">3613 - Nebytové hospodářství
</v>
      </c>
      <c r="H57" t="str">
        <f>VLOOKUP(Tabulka1[[#This Row],[položka]],položky!A:C,3,0)</f>
        <v xml:space="preserve">2132 - Přijmy z pronájmu ost. nem. věcí a jejich částí
</v>
      </c>
      <c r="I57" t="str">
        <f>Tabulka1[[#This Row],[paragraf]]&amp;"  "&amp;Tabulka1[[#This Row],[položka+název.položky]]</f>
        <v xml:space="preserve">3613  2132 - Přijmy z pronájmu ost. nem. věcí a jejich částí
</v>
      </c>
      <c r="J57">
        <f>IF(Tabulka1[[#This Row],[typ]]="02 - výdej",Tabulka1[[#This Row],[rozpočet]]*(-1),Tabulka1[[#This Row],[rozpočet]]*1)</f>
        <v>12000</v>
      </c>
    </row>
    <row r="58" spans="1:10" hidden="1" x14ac:dyDescent="0.25">
      <c r="A58" t="s">
        <v>482</v>
      </c>
      <c r="B58">
        <v>3613</v>
      </c>
      <c r="C58">
        <v>2132</v>
      </c>
      <c r="D58" s="34">
        <v>18000</v>
      </c>
      <c r="E58" t="s">
        <v>101</v>
      </c>
      <c r="G58" t="str">
        <f>VLOOKUP(Tabulka1[[#This Row],[paragraf]],paragrafy!A:C,3,0)</f>
        <v xml:space="preserve">3613 - Nebytové hospodářství
</v>
      </c>
      <c r="H58" t="str">
        <f>VLOOKUP(Tabulka1[[#This Row],[položka]],položky!A:C,3,0)</f>
        <v xml:space="preserve">2132 - Přijmy z pronájmu ost. nem. věcí a jejich částí
</v>
      </c>
      <c r="I58" t="str">
        <f>Tabulka1[[#This Row],[paragraf]]&amp;"  "&amp;Tabulka1[[#This Row],[položka+název.položky]]</f>
        <v xml:space="preserve">3613  2132 - Přijmy z pronájmu ost. nem. věcí a jejich částí
</v>
      </c>
      <c r="J58">
        <f>IF(Tabulka1[[#This Row],[typ]]="02 - výdej",Tabulka1[[#This Row],[rozpočet]]*(-1),Tabulka1[[#This Row],[rozpočet]]*1)</f>
        <v>18000</v>
      </c>
    </row>
    <row r="59" spans="1:10" hidden="1" x14ac:dyDescent="0.25">
      <c r="A59" t="s">
        <v>483</v>
      </c>
      <c r="B59">
        <v>3314</v>
      </c>
      <c r="C59">
        <v>5021</v>
      </c>
      <c r="D59" s="34">
        <f>Tabulka1[[#This Row],[pomocné]]*12</f>
        <v>36000</v>
      </c>
      <c r="E59" t="s">
        <v>115</v>
      </c>
      <c r="F59" s="34">
        <f>3000</f>
        <v>3000</v>
      </c>
      <c r="G59" t="str">
        <f>VLOOKUP(Tabulka1[[#This Row],[paragraf]],paragrafy!A:C,3,0)</f>
        <v xml:space="preserve">3314 - Činnosti knihovnické
</v>
      </c>
      <c r="H59" t="str">
        <f>VLOOKUP(Tabulka1[[#This Row],[položka]],položky!A:C,3,0)</f>
        <v xml:space="preserve">5021 - Ostatní osobní výdaje
</v>
      </c>
      <c r="I59" t="str">
        <f>Tabulka1[[#This Row],[paragraf]]&amp;"  "&amp;Tabulka1[[#This Row],[položka+název.položky]]</f>
        <v xml:space="preserve">3314  5021 - Ostatní osobní výdaje
</v>
      </c>
      <c r="J59">
        <f>IF(Tabulka1[[#This Row],[typ]]="02 - výdej",Tabulka1[[#This Row],[rozpočet]]*(-1),Tabulka1[[#This Row],[rozpočet]]*1)</f>
        <v>-36000</v>
      </c>
    </row>
    <row r="60" spans="1:10" hidden="1" x14ac:dyDescent="0.25">
      <c r="A60" t="s">
        <v>483</v>
      </c>
      <c r="B60">
        <v>3314</v>
      </c>
      <c r="C60">
        <v>5136</v>
      </c>
      <c r="D60" s="34">
        <v>8000</v>
      </c>
      <c r="E60" t="s">
        <v>422</v>
      </c>
      <c r="G60" s="50" t="str">
        <f>VLOOKUP(Tabulka1[[#This Row],[paragraf]],paragrafy!A:C,3,0)</f>
        <v xml:space="preserve">3314 - Činnosti knihovnické
</v>
      </c>
      <c r="H60" s="50" t="str">
        <f>VLOOKUP(Tabulka1[[#This Row],[položka]],položky!A:C,3,0)</f>
        <v xml:space="preserve">5136 - Knihy, učební pomůcky a tisk
</v>
      </c>
      <c r="I60" s="50" t="str">
        <f>Tabulka1[[#This Row],[paragraf]]&amp;"  "&amp;Tabulka1[[#This Row],[položka+název.položky]]</f>
        <v xml:space="preserve">3314  5136 - Knihy, učební pomůcky a tisk
</v>
      </c>
      <c r="J60" s="50">
        <f>IF(Tabulka1[[#This Row],[typ]]="02 - výdej",Tabulka1[[#This Row],[rozpočet]]*(-1),Tabulka1[[#This Row],[rozpočet]]*1)</f>
        <v>-8000</v>
      </c>
    </row>
    <row r="61" spans="1:10" hidden="1" x14ac:dyDescent="0.25">
      <c r="A61" t="s">
        <v>483</v>
      </c>
      <c r="B61">
        <v>3314</v>
      </c>
      <c r="C61">
        <v>5139</v>
      </c>
      <c r="D61" s="34">
        <v>2000</v>
      </c>
      <c r="E61" t="s">
        <v>306</v>
      </c>
      <c r="G61" s="50" t="str">
        <f>VLOOKUP(Tabulka1[[#This Row],[paragraf]],paragrafy!A:C,3,0)</f>
        <v xml:space="preserve">3314 - Činnosti knihovnické
</v>
      </c>
      <c r="H61" s="50" t="str">
        <f>VLOOKUP(Tabulka1[[#This Row],[položka]],položky!A:C,3,0)</f>
        <v xml:space="preserve">5139 - Nákup materiálu j.n.
</v>
      </c>
      <c r="I61" s="50" t="str">
        <f>Tabulka1[[#This Row],[paragraf]]&amp;"  "&amp;Tabulka1[[#This Row],[položka+název.položky]]</f>
        <v xml:space="preserve">3314  5139 - Nákup materiálu j.n.
</v>
      </c>
      <c r="J61" s="50">
        <f>IF(Tabulka1[[#This Row],[typ]]="02 - výdej",Tabulka1[[#This Row],[rozpočet]]*(-1),Tabulka1[[#This Row],[rozpočet]]*1)</f>
        <v>-2000</v>
      </c>
    </row>
    <row r="62" spans="1:10" hidden="1" x14ac:dyDescent="0.25">
      <c r="A62" t="s">
        <v>483</v>
      </c>
      <c r="B62">
        <v>3314</v>
      </c>
      <c r="C62">
        <v>5168</v>
      </c>
      <c r="D62" s="34">
        <v>1500</v>
      </c>
      <c r="E62" t="s">
        <v>305</v>
      </c>
      <c r="G62" s="50" t="str">
        <f>VLOOKUP(Tabulka1[[#This Row],[paragraf]],paragrafy!A:C,3,0)</f>
        <v xml:space="preserve">3314 - Činnosti knihovnické
</v>
      </c>
      <c r="H62" s="50" t="str">
        <f>VLOOKUP(Tabulka1[[#This Row],[položka]],položky!A:C,3,0)</f>
        <v xml:space="preserve">5168 - Zpracování dat a služby souv. s inf. a kom.technol
</v>
      </c>
      <c r="I62" s="50" t="str">
        <f>Tabulka1[[#This Row],[paragraf]]&amp;"  "&amp;Tabulka1[[#This Row],[položka+název.položky]]</f>
        <v xml:space="preserve">3314  5168 - Zpracování dat a služby souv. s inf. a kom.technol
</v>
      </c>
      <c r="J62" s="50">
        <f>IF(Tabulka1[[#This Row],[typ]]="02 - výdej",Tabulka1[[#This Row],[rozpočet]]*(-1),Tabulka1[[#This Row],[rozpočet]]*1)</f>
        <v>-1500</v>
      </c>
    </row>
    <row r="63" spans="1:10" hidden="1" x14ac:dyDescent="0.25">
      <c r="A63" t="s">
        <v>483</v>
      </c>
      <c r="B63">
        <v>3314</v>
      </c>
      <c r="C63">
        <v>5339</v>
      </c>
      <c r="D63" s="34">
        <v>8000</v>
      </c>
      <c r="E63" t="s">
        <v>307</v>
      </c>
      <c r="G63" s="50" t="str">
        <f>VLOOKUP(Tabulka1[[#This Row],[paragraf]],paragrafy!A:C,3,0)</f>
        <v xml:space="preserve">3314 - Činnosti knihovnické
</v>
      </c>
      <c r="H63" s="50" t="str">
        <f>VLOOKUP(Tabulka1[[#This Row],[položka]],položky!A:C,3,0)</f>
        <v>5339 - Neinvestiční transféry cizím PO</v>
      </c>
      <c r="I63" s="50" t="str">
        <f>Tabulka1[[#This Row],[paragraf]]&amp;"  "&amp;Tabulka1[[#This Row],[položka+název.položky]]</f>
        <v>3314  5339 - Neinvestiční transféry cizím PO</v>
      </c>
      <c r="J63" s="50">
        <f>IF(Tabulka1[[#This Row],[typ]]="02 - výdej",Tabulka1[[#This Row],[rozpočet]]*(-1),Tabulka1[[#This Row],[rozpočet]]*1)</f>
        <v>-8000</v>
      </c>
    </row>
    <row r="64" spans="1:10" hidden="1" x14ac:dyDescent="0.25">
      <c r="A64" t="s">
        <v>483</v>
      </c>
      <c r="B64">
        <v>3319</v>
      </c>
      <c r="C64">
        <v>5139</v>
      </c>
      <c r="D64" s="34">
        <v>75000</v>
      </c>
      <c r="E64" t="s">
        <v>501</v>
      </c>
      <c r="G64" s="50" t="str">
        <f>VLOOKUP(Tabulka1[[#This Row],[paragraf]],paragrafy!A:C,3,0)</f>
        <v xml:space="preserve">3319 - Ostatní záležitosti kultury
</v>
      </c>
      <c r="H64" s="50" t="str">
        <f>VLOOKUP(Tabulka1[[#This Row],[položka]],položky!A:C,3,0)</f>
        <v xml:space="preserve">5139 - Nákup materiálu j.n.
</v>
      </c>
      <c r="I64" s="50" t="str">
        <f>Tabulka1[[#This Row],[paragraf]]&amp;"  "&amp;Tabulka1[[#This Row],[položka+název.položky]]</f>
        <v xml:space="preserve">3319  5139 - Nákup materiálu j.n.
</v>
      </c>
      <c r="J64" s="50">
        <f>IF(Tabulka1[[#This Row],[typ]]="02 - výdej",Tabulka1[[#This Row],[rozpočet]]*(-1),Tabulka1[[#This Row],[rozpočet]]*1)</f>
        <v>-75000</v>
      </c>
    </row>
    <row r="65" spans="1:10" hidden="1" x14ac:dyDescent="0.25">
      <c r="A65" t="s">
        <v>483</v>
      </c>
      <c r="B65">
        <v>3319</v>
      </c>
      <c r="C65">
        <v>5139</v>
      </c>
      <c r="D65" s="34">
        <v>3000</v>
      </c>
      <c r="E65" t="s">
        <v>423</v>
      </c>
      <c r="G65" s="50" t="str">
        <f>VLOOKUP(Tabulka1[[#This Row],[paragraf]],paragrafy!A:C,3,0)</f>
        <v xml:space="preserve">3319 - Ostatní záležitosti kultury
</v>
      </c>
      <c r="H65" s="50" t="str">
        <f>VLOOKUP(Tabulka1[[#This Row],[položka]],položky!A:C,3,0)</f>
        <v xml:space="preserve">5139 - Nákup materiálu j.n.
</v>
      </c>
      <c r="I65" s="50" t="str">
        <f>Tabulka1[[#This Row],[paragraf]]&amp;"  "&amp;Tabulka1[[#This Row],[položka+název.položky]]</f>
        <v xml:space="preserve">3319  5139 - Nákup materiálu j.n.
</v>
      </c>
      <c r="J65" s="50">
        <f>IF(Tabulka1[[#This Row],[typ]]="02 - výdej",Tabulka1[[#This Row],[rozpočet]]*(-1),Tabulka1[[#This Row],[rozpočet]]*1)</f>
        <v>-3000</v>
      </c>
    </row>
    <row r="66" spans="1:10" hidden="1" x14ac:dyDescent="0.25">
      <c r="A66" t="s">
        <v>483</v>
      </c>
      <c r="B66">
        <v>3319</v>
      </c>
      <c r="C66">
        <v>5139</v>
      </c>
      <c r="D66" s="34">
        <v>3000</v>
      </c>
      <c r="E66" t="s">
        <v>308</v>
      </c>
      <c r="G66" s="50" t="str">
        <f>VLOOKUP(Tabulka1[[#This Row],[paragraf]],paragrafy!A:C,3,0)</f>
        <v xml:space="preserve">3319 - Ostatní záležitosti kultury
</v>
      </c>
      <c r="H66" s="50" t="str">
        <f>VLOOKUP(Tabulka1[[#This Row],[položka]],položky!A:C,3,0)</f>
        <v xml:space="preserve">5139 - Nákup materiálu j.n.
</v>
      </c>
      <c r="I66" s="50" t="str">
        <f>Tabulka1[[#This Row],[paragraf]]&amp;"  "&amp;Tabulka1[[#This Row],[položka+název.položky]]</f>
        <v xml:space="preserve">3319  5139 - Nákup materiálu j.n.
</v>
      </c>
      <c r="J66" s="50">
        <f>IF(Tabulka1[[#This Row],[typ]]="02 - výdej",Tabulka1[[#This Row],[rozpočet]]*(-1),Tabulka1[[#This Row],[rozpočet]]*1)</f>
        <v>-3000</v>
      </c>
    </row>
    <row r="67" spans="1:10" hidden="1" x14ac:dyDescent="0.25">
      <c r="A67" t="s">
        <v>483</v>
      </c>
      <c r="B67">
        <v>3399</v>
      </c>
      <c r="C67">
        <v>5175</v>
      </c>
      <c r="D67" s="34">
        <f>36*300</f>
        <v>10800</v>
      </c>
      <c r="E67" t="s">
        <v>429</v>
      </c>
      <c r="G67" s="50" t="str">
        <f>VLOOKUP(Tabulka1[[#This Row],[paragraf]],paragrafy!A:C,3,0)</f>
        <v xml:space="preserve">3399 - Ostatní záležitosti kultury,církví a sděl.prostř.
</v>
      </c>
      <c r="H67" s="50" t="str">
        <f>VLOOKUP(Tabulka1[[#This Row],[položka]],položky!A:C,3,0)</f>
        <v xml:space="preserve">5175 - Pohoštění
</v>
      </c>
      <c r="I67" s="50" t="str">
        <f>Tabulka1[[#This Row],[paragraf]]&amp;"  "&amp;Tabulka1[[#This Row],[položka+název.položky]]</f>
        <v xml:space="preserve">3399  5175 - Pohoštění
</v>
      </c>
      <c r="J67" s="50">
        <f>IF(Tabulka1[[#This Row],[typ]]="02 - výdej",Tabulka1[[#This Row],[rozpočet]]*(-1),Tabulka1[[#This Row],[rozpočet]]*1)</f>
        <v>-10800</v>
      </c>
    </row>
    <row r="68" spans="1:10" hidden="1" x14ac:dyDescent="0.25">
      <c r="A68" t="s">
        <v>483</v>
      </c>
      <c r="B68">
        <v>3319</v>
      </c>
      <c r="C68">
        <v>5139</v>
      </c>
      <c r="D68" s="34">
        <v>5000</v>
      </c>
      <c r="E68" t="s">
        <v>309</v>
      </c>
      <c r="G68" s="50" t="str">
        <f>VLOOKUP(Tabulka1[[#This Row],[paragraf]],paragrafy!A:C,3,0)</f>
        <v xml:space="preserve">3319 - Ostatní záležitosti kultury
</v>
      </c>
      <c r="H68" s="50" t="str">
        <f>VLOOKUP(Tabulka1[[#This Row],[položka]],položky!A:C,3,0)</f>
        <v xml:space="preserve">5139 - Nákup materiálu j.n.
</v>
      </c>
      <c r="I68" s="50" t="str">
        <f>Tabulka1[[#This Row],[paragraf]]&amp;"  "&amp;Tabulka1[[#This Row],[položka+název.položky]]</f>
        <v xml:space="preserve">3319  5139 - Nákup materiálu j.n.
</v>
      </c>
      <c r="J68" s="50">
        <f>IF(Tabulka1[[#This Row],[typ]]="02 - výdej",Tabulka1[[#This Row],[rozpočet]]*(-1),Tabulka1[[#This Row],[rozpočet]]*1)</f>
        <v>-5000</v>
      </c>
    </row>
    <row r="69" spans="1:10" hidden="1" x14ac:dyDescent="0.25">
      <c r="A69" t="s">
        <v>483</v>
      </c>
      <c r="B69">
        <v>3421</v>
      </c>
      <c r="C69">
        <v>6121</v>
      </c>
      <c r="D69" s="34">
        <v>100000</v>
      </c>
      <c r="E69" t="s">
        <v>505</v>
      </c>
      <c r="G69" s="50" t="str">
        <f>VLOOKUP(Tabulka1[[#This Row],[paragraf]],paragrafy!A:C,3,0)</f>
        <v>3421 - Využití volného času dětí a mládeže</v>
      </c>
      <c r="H69" s="50" t="str">
        <f>VLOOKUP(Tabulka1[[#This Row],[položka]],položky!A:C,3,0)</f>
        <v xml:space="preserve">6121 - Budovy, haly a stavby
</v>
      </c>
      <c r="I69" s="50" t="str">
        <f>Tabulka1[[#This Row],[paragraf]]&amp;"  "&amp;Tabulka1[[#This Row],[položka+název.položky]]</f>
        <v xml:space="preserve">3421  6121 - Budovy, haly a stavby
</v>
      </c>
      <c r="J69" s="50">
        <f>IF(Tabulka1[[#This Row],[typ]]="02 - výdej",Tabulka1[[#This Row],[rozpočet]]*(-1),Tabulka1[[#This Row],[rozpočet]]*1)</f>
        <v>-100000</v>
      </c>
    </row>
    <row r="70" spans="1:10" hidden="1" x14ac:dyDescent="0.25">
      <c r="A70" t="s">
        <v>483</v>
      </c>
      <c r="B70">
        <v>3319</v>
      </c>
      <c r="C70">
        <v>5139</v>
      </c>
      <c r="D70" s="34">
        <v>5000</v>
      </c>
      <c r="E70" t="s">
        <v>310</v>
      </c>
      <c r="G70" s="50" t="str">
        <f>VLOOKUP(Tabulka1[[#This Row],[paragraf]],paragrafy!A:C,3,0)</f>
        <v xml:space="preserve">3319 - Ostatní záležitosti kultury
</v>
      </c>
      <c r="H70" s="50" t="str">
        <f>VLOOKUP(Tabulka1[[#This Row],[položka]],položky!A:C,3,0)</f>
        <v xml:space="preserve">5139 - Nákup materiálu j.n.
</v>
      </c>
      <c r="I70" s="50" t="str">
        <f>Tabulka1[[#This Row],[paragraf]]&amp;"  "&amp;Tabulka1[[#This Row],[položka+název.položky]]</f>
        <v xml:space="preserve">3319  5139 - Nákup materiálu j.n.
</v>
      </c>
      <c r="J70" s="50">
        <f>IF(Tabulka1[[#This Row],[typ]]="02 - výdej",Tabulka1[[#This Row],[rozpočet]]*(-1),Tabulka1[[#This Row],[rozpočet]]*1)</f>
        <v>-5000</v>
      </c>
    </row>
    <row r="71" spans="1:10" hidden="1" x14ac:dyDescent="0.25">
      <c r="A71" t="s">
        <v>483</v>
      </c>
      <c r="B71">
        <v>3319</v>
      </c>
      <c r="C71">
        <v>5139</v>
      </c>
      <c r="D71" s="34">
        <v>25000</v>
      </c>
      <c r="E71" t="s">
        <v>512</v>
      </c>
      <c r="G71" s="50" t="str">
        <f>VLOOKUP(Tabulka1[[#This Row],[paragraf]],paragrafy!A:C,3,0)</f>
        <v xml:space="preserve">3319 - Ostatní záležitosti kultury
</v>
      </c>
      <c r="H71" s="50" t="str">
        <f>VLOOKUP(Tabulka1[[#This Row],[položka]],položky!A:C,3,0)</f>
        <v xml:space="preserve">5139 - Nákup materiálu j.n.
</v>
      </c>
      <c r="I71" s="50" t="str">
        <f>Tabulka1[[#This Row],[paragraf]]&amp;"  "&amp;Tabulka1[[#This Row],[položka+název.položky]]</f>
        <v xml:space="preserve">3319  5139 - Nákup materiálu j.n.
</v>
      </c>
      <c r="J71" s="50">
        <f>IF(Tabulka1[[#This Row],[typ]]="02 - výdej",Tabulka1[[#This Row],[rozpočet]]*(-1),Tabulka1[[#This Row],[rozpočet]]*1)</f>
        <v>-25000</v>
      </c>
    </row>
    <row r="72" spans="1:10" hidden="1" x14ac:dyDescent="0.25">
      <c r="A72" t="s">
        <v>483</v>
      </c>
      <c r="B72">
        <v>3319</v>
      </c>
      <c r="C72">
        <v>5169</v>
      </c>
      <c r="D72" s="34">
        <v>15000</v>
      </c>
      <c r="E72" t="s">
        <v>313</v>
      </c>
      <c r="G72" s="50" t="str">
        <f>VLOOKUP(Tabulka1[[#This Row],[paragraf]],paragrafy!A:C,3,0)</f>
        <v xml:space="preserve">3319 - Ostatní záležitosti kultury
</v>
      </c>
      <c r="H72" s="50" t="str">
        <f>VLOOKUP(Tabulka1[[#This Row],[položka]],položky!A:C,3,0)</f>
        <v xml:space="preserve">5169 - Nákup ostatních služeb
</v>
      </c>
      <c r="I72" s="50" t="str">
        <f>Tabulka1[[#This Row],[paragraf]]&amp;"  "&amp;Tabulka1[[#This Row],[položka+název.položky]]</f>
        <v xml:space="preserve">3319  5169 - Nákup ostatních služeb
</v>
      </c>
      <c r="J72" s="50">
        <f>IF(Tabulka1[[#This Row],[typ]]="02 - výdej",Tabulka1[[#This Row],[rozpočet]]*(-1),Tabulka1[[#This Row],[rozpočet]]*1)</f>
        <v>-15000</v>
      </c>
    </row>
    <row r="73" spans="1:10" hidden="1" x14ac:dyDescent="0.25">
      <c r="A73" t="s">
        <v>483</v>
      </c>
      <c r="B73">
        <v>3319</v>
      </c>
      <c r="C73">
        <v>5169</v>
      </c>
      <c r="D73" s="34">
        <v>15000</v>
      </c>
      <c r="E73" t="s">
        <v>425</v>
      </c>
      <c r="G73" s="50" t="str">
        <f>VLOOKUP(Tabulka1[[#This Row],[paragraf]],paragrafy!A:C,3,0)</f>
        <v xml:space="preserve">3319 - Ostatní záležitosti kultury
</v>
      </c>
      <c r="H73" s="50" t="str">
        <f>VLOOKUP(Tabulka1[[#This Row],[položka]],položky!A:C,3,0)</f>
        <v xml:space="preserve">5169 - Nákup ostatních služeb
</v>
      </c>
      <c r="I73" s="50" t="str">
        <f>Tabulka1[[#This Row],[paragraf]]&amp;"  "&amp;Tabulka1[[#This Row],[položka+název.položky]]</f>
        <v xml:space="preserve">3319  5169 - Nákup ostatních služeb
</v>
      </c>
      <c r="J73" s="50">
        <f>IF(Tabulka1[[#This Row],[typ]]="02 - výdej",Tabulka1[[#This Row],[rozpočet]]*(-1),Tabulka1[[#This Row],[rozpočet]]*1)</f>
        <v>-15000</v>
      </c>
    </row>
    <row r="74" spans="1:10" hidden="1" x14ac:dyDescent="0.25">
      <c r="A74" t="s">
        <v>483</v>
      </c>
      <c r="B74">
        <v>3319</v>
      </c>
      <c r="C74">
        <v>5222</v>
      </c>
      <c r="D74" s="34">
        <v>10000</v>
      </c>
      <c r="E74" t="s">
        <v>312</v>
      </c>
      <c r="G74" s="50" t="str">
        <f>VLOOKUP(Tabulka1[[#This Row],[paragraf]],paragrafy!A:C,3,0)</f>
        <v xml:space="preserve">3319 - Ostatní záležitosti kultury
</v>
      </c>
      <c r="H74" s="50" t="str">
        <f>VLOOKUP(Tabulka1[[#This Row],[položka]],položky!A:C,3,0)</f>
        <v xml:space="preserve">5222 - Neinvestiční transfery spolkům
</v>
      </c>
      <c r="I74" s="50" t="str">
        <f>Tabulka1[[#This Row],[paragraf]]&amp;"  "&amp;Tabulka1[[#This Row],[položka+název.položky]]</f>
        <v xml:space="preserve">3319  5222 - Neinvestiční transfery spolkům
</v>
      </c>
      <c r="J74" s="50">
        <f>IF(Tabulka1[[#This Row],[typ]]="02 - výdej",Tabulka1[[#This Row],[rozpočet]]*(-1),Tabulka1[[#This Row],[rozpočet]]*1)</f>
        <v>-10000</v>
      </c>
    </row>
    <row r="75" spans="1:10" hidden="1" x14ac:dyDescent="0.25">
      <c r="A75" t="s">
        <v>483</v>
      </c>
      <c r="B75">
        <v>3319</v>
      </c>
      <c r="C75">
        <v>5229</v>
      </c>
      <c r="D75" s="34">
        <v>10000</v>
      </c>
      <c r="E75" t="s">
        <v>424</v>
      </c>
      <c r="G75" s="50" t="str">
        <f>VLOOKUP(Tabulka1[[#This Row],[paragraf]],paragrafy!A:C,3,0)</f>
        <v xml:space="preserve">3319 - Ostatní záležitosti kultury
</v>
      </c>
      <c r="H75" s="50" t="str">
        <f>VLOOKUP(Tabulka1[[#This Row],[položka]],položky!A:C,3,0)</f>
        <v xml:space="preserve">5229 - Ostatní neinv.transfery nezisk.a podob.organizacím
</v>
      </c>
      <c r="I75" s="50" t="str">
        <f>Tabulka1[[#This Row],[paragraf]]&amp;"  "&amp;Tabulka1[[#This Row],[položka+název.položky]]</f>
        <v xml:space="preserve">3319  5229 - Ostatní neinv.transfery nezisk.a podob.organizacím
</v>
      </c>
      <c r="J75" s="50">
        <f>IF(Tabulka1[[#This Row],[typ]]="02 - výdej",Tabulka1[[#This Row],[rozpočet]]*(-1),Tabulka1[[#This Row],[rozpočet]]*1)</f>
        <v>-10000</v>
      </c>
    </row>
    <row r="76" spans="1:10" hidden="1" x14ac:dyDescent="0.25">
      <c r="A76" t="s">
        <v>483</v>
      </c>
      <c r="B76">
        <v>3399</v>
      </c>
      <c r="C76">
        <v>5194</v>
      </c>
      <c r="D76" s="34">
        <v>10000</v>
      </c>
      <c r="E76" t="s">
        <v>428</v>
      </c>
      <c r="G76" s="50" t="str">
        <f>VLOOKUP(Tabulka1[[#This Row],[paragraf]],paragrafy!A:C,3,0)</f>
        <v xml:space="preserve">3399 - Ostatní záležitosti kultury,církví a sděl.prostř.
</v>
      </c>
      <c r="H76" s="50" t="str">
        <f>VLOOKUP(Tabulka1[[#This Row],[položka]],položky!A:C,3,0)</f>
        <v xml:space="preserve">5194 - Věcné dary
</v>
      </c>
      <c r="I76" s="50" t="str">
        <f>Tabulka1[[#This Row],[paragraf]]&amp;"  "&amp;Tabulka1[[#This Row],[položka+název.položky]]</f>
        <v xml:space="preserve">3399  5194 - Věcné dary
</v>
      </c>
      <c r="J76" s="50">
        <f>IF(Tabulka1[[#This Row],[typ]]="02 - výdej",Tabulka1[[#This Row],[rozpočet]]*(-1),Tabulka1[[#This Row],[rozpočet]]*1)</f>
        <v>-10000</v>
      </c>
    </row>
    <row r="77" spans="1:10" hidden="1" x14ac:dyDescent="0.25">
      <c r="A77" t="s">
        <v>483</v>
      </c>
      <c r="B77">
        <v>3399</v>
      </c>
      <c r="C77">
        <v>5194</v>
      </c>
      <c r="D77" s="34">
        <f>37*600</f>
        <v>22200</v>
      </c>
      <c r="E77" t="s">
        <v>427</v>
      </c>
      <c r="G77" s="50" t="str">
        <f>VLOOKUP(Tabulka1[[#This Row],[paragraf]],paragrafy!A:C,3,0)</f>
        <v xml:space="preserve">3399 - Ostatní záležitosti kultury,církví a sděl.prostř.
</v>
      </c>
      <c r="H77" s="50" t="str">
        <f>VLOOKUP(Tabulka1[[#This Row],[položka]],položky!A:C,3,0)</f>
        <v xml:space="preserve">5194 - Věcné dary
</v>
      </c>
      <c r="I77" s="50" t="str">
        <f>Tabulka1[[#This Row],[paragraf]]&amp;"  "&amp;Tabulka1[[#This Row],[položka+název.položky]]</f>
        <v xml:space="preserve">3399  5194 - Věcné dary
</v>
      </c>
      <c r="J77" s="50">
        <f>IF(Tabulka1[[#This Row],[typ]]="02 - výdej",Tabulka1[[#This Row],[rozpočet]]*(-1),Tabulka1[[#This Row],[rozpočet]]*1)</f>
        <v>-22200</v>
      </c>
    </row>
    <row r="78" spans="1:10" hidden="1" x14ac:dyDescent="0.25">
      <c r="A78" t="s">
        <v>483</v>
      </c>
      <c r="B78">
        <v>3419</v>
      </c>
      <c r="C78">
        <v>5139</v>
      </c>
      <c r="D78" s="34">
        <v>10000</v>
      </c>
      <c r="E78" t="s">
        <v>314</v>
      </c>
      <c r="G78" s="50" t="str">
        <f>VLOOKUP(Tabulka1[[#This Row],[paragraf]],paragrafy!A:C,3,0)</f>
        <v xml:space="preserve">3419 - Ostatní sportovní činnost
</v>
      </c>
      <c r="H78" s="50" t="str">
        <f>VLOOKUP(Tabulka1[[#This Row],[položka]],položky!A:C,3,0)</f>
        <v xml:space="preserve">5139 - Nákup materiálu j.n.
</v>
      </c>
      <c r="I78" s="50" t="str">
        <f>Tabulka1[[#This Row],[paragraf]]&amp;"  "&amp;Tabulka1[[#This Row],[položka+název.položky]]</f>
        <v xml:space="preserve">3419  5139 - Nákup materiálu j.n.
</v>
      </c>
      <c r="J78" s="50">
        <f>IF(Tabulka1[[#This Row],[typ]]="02 - výdej",Tabulka1[[#This Row],[rozpočet]]*(-1),Tabulka1[[#This Row],[rozpočet]]*1)</f>
        <v>-10000</v>
      </c>
    </row>
    <row r="79" spans="1:10" hidden="1" x14ac:dyDescent="0.25">
      <c r="A79" t="s">
        <v>483</v>
      </c>
      <c r="B79">
        <v>3419</v>
      </c>
      <c r="C79">
        <v>5222</v>
      </c>
      <c r="D79" s="34">
        <v>135000</v>
      </c>
      <c r="E79" t="s">
        <v>315</v>
      </c>
      <c r="G79" s="50" t="str">
        <f>VLOOKUP(Tabulka1[[#This Row],[paragraf]],paragrafy!A:C,3,0)</f>
        <v xml:space="preserve">3419 - Ostatní sportovní činnost
</v>
      </c>
      <c r="H79" s="50" t="str">
        <f>VLOOKUP(Tabulka1[[#This Row],[položka]],položky!A:C,3,0)</f>
        <v xml:space="preserve">5222 - Neinvestiční transfery spolkům
</v>
      </c>
      <c r="I79" s="50" t="str">
        <f>Tabulka1[[#This Row],[paragraf]]&amp;"  "&amp;Tabulka1[[#This Row],[položka+název.položky]]</f>
        <v xml:space="preserve">3419  5222 - Neinvestiční transfery spolkům
</v>
      </c>
      <c r="J79" s="50">
        <f>IF(Tabulka1[[#This Row],[typ]]="02 - výdej",Tabulka1[[#This Row],[rozpočet]]*(-1),Tabulka1[[#This Row],[rozpočet]]*1)</f>
        <v>-135000</v>
      </c>
    </row>
    <row r="80" spans="1:10" hidden="1" x14ac:dyDescent="0.25">
      <c r="A80" t="s">
        <v>483</v>
      </c>
      <c r="B80">
        <v>3421</v>
      </c>
      <c r="C80">
        <v>5171</v>
      </c>
      <c r="D80" s="34">
        <v>20000</v>
      </c>
      <c r="E80" t="s">
        <v>431</v>
      </c>
      <c r="G80" s="50" t="str">
        <f>VLOOKUP(Tabulka1[[#This Row],[paragraf]],paragrafy!A:C,3,0)</f>
        <v>3421 - Využití volného času dětí a mládeže</v>
      </c>
      <c r="H80" s="50" t="str">
        <f>VLOOKUP(Tabulka1[[#This Row],[položka]],položky!A:C,3,0)</f>
        <v xml:space="preserve">5171 - Opravy a udržování
</v>
      </c>
      <c r="I80" s="50" t="str">
        <f>Tabulka1[[#This Row],[paragraf]]&amp;"  "&amp;Tabulka1[[#This Row],[položka+název.položky]]</f>
        <v xml:space="preserve">3421  5171 - Opravy a udržování
</v>
      </c>
      <c r="J80" s="50">
        <f>IF(Tabulka1[[#This Row],[typ]]="02 - výdej",Tabulka1[[#This Row],[rozpočet]]*(-1),Tabulka1[[#This Row],[rozpočet]]*1)</f>
        <v>-20000</v>
      </c>
    </row>
    <row r="81" spans="1:10" hidden="1" x14ac:dyDescent="0.25">
      <c r="A81" t="s">
        <v>483</v>
      </c>
      <c r="B81">
        <v>3421</v>
      </c>
      <c r="C81">
        <v>5171</v>
      </c>
      <c r="D81" s="34">
        <v>15000</v>
      </c>
      <c r="E81" t="s">
        <v>316</v>
      </c>
      <c r="G81" s="50" t="str">
        <f>VLOOKUP(Tabulka1[[#This Row],[paragraf]],paragrafy!A:C,3,0)</f>
        <v>3421 - Využití volného času dětí a mládeže</v>
      </c>
      <c r="H81" s="50" t="str">
        <f>VLOOKUP(Tabulka1[[#This Row],[položka]],položky!A:C,3,0)</f>
        <v xml:space="preserve">5171 - Opravy a udržování
</v>
      </c>
      <c r="I81" s="50" t="str">
        <f>Tabulka1[[#This Row],[paragraf]]&amp;"  "&amp;Tabulka1[[#This Row],[položka+název.položky]]</f>
        <v xml:space="preserve">3421  5171 - Opravy a udržování
</v>
      </c>
      <c r="J81" s="50">
        <f>IF(Tabulka1[[#This Row],[typ]]="02 - výdej",Tabulka1[[#This Row],[rozpočet]]*(-1),Tabulka1[[#This Row],[rozpočet]]*1)</f>
        <v>-15000</v>
      </c>
    </row>
    <row r="82" spans="1:10" hidden="1" x14ac:dyDescent="0.25">
      <c r="A82" t="s">
        <v>483</v>
      </c>
      <c r="B82">
        <v>2321</v>
      </c>
      <c r="C82">
        <v>5154</v>
      </c>
      <c r="D82" s="34">
        <v>250000</v>
      </c>
      <c r="E82" t="s">
        <v>497</v>
      </c>
      <c r="G82" s="50" t="str">
        <f>VLOOKUP(Tabulka1[[#This Row],[paragraf]],paragrafy!A:C,3,0)</f>
        <v xml:space="preserve">2321 - Odvádění a čištění odpadních vod a nakl.s kaly
</v>
      </c>
      <c r="H82" s="50" t="str">
        <f>VLOOKUP(Tabulka1[[#This Row],[položka]],položky!A:C,3,0)</f>
        <v xml:space="preserve">5154 - Elektrická energie
</v>
      </c>
      <c r="I82" s="50" t="str">
        <f>Tabulka1[[#This Row],[paragraf]]&amp;"  "&amp;Tabulka1[[#This Row],[položka+název.položky]]</f>
        <v xml:space="preserve">2321  5154 - Elektrická energie
</v>
      </c>
      <c r="J82" s="50">
        <f>IF(Tabulka1[[#This Row],[typ]]="02 - výdej",Tabulka1[[#This Row],[rozpočet]]*(-1),Tabulka1[[#This Row],[rozpočet]]*1)</f>
        <v>-250000</v>
      </c>
    </row>
    <row r="83" spans="1:10" hidden="1" x14ac:dyDescent="0.25">
      <c r="A83" t="s">
        <v>483</v>
      </c>
      <c r="B83">
        <v>3613</v>
      </c>
      <c r="C83">
        <v>5021</v>
      </c>
      <c r="D83" s="34">
        <f>Tabulka1[[#This Row],[pomocné]]*12</f>
        <v>7920</v>
      </c>
      <c r="E83" t="s">
        <v>120</v>
      </c>
      <c r="F83" s="34">
        <v>660</v>
      </c>
      <c r="G83" t="str">
        <f>VLOOKUP(Tabulka1[[#This Row],[paragraf]],paragrafy!A:C,3,0)</f>
        <v xml:space="preserve">3613 - Nebytové hospodářství
</v>
      </c>
      <c r="H83" t="str">
        <f>VLOOKUP(Tabulka1[[#This Row],[položka]],položky!A:C,3,0)</f>
        <v xml:space="preserve">5021 - Ostatní osobní výdaje
</v>
      </c>
      <c r="I83" t="str">
        <f>Tabulka1[[#This Row],[paragraf]]&amp;"  "&amp;Tabulka1[[#This Row],[položka+název.položky]]</f>
        <v xml:space="preserve">3613  5021 - Ostatní osobní výdaje
</v>
      </c>
      <c r="J83" s="50">
        <f>IF(Tabulka1[[#This Row],[typ]]="02 - výdej",Tabulka1[[#This Row],[rozpočet]]*(-1),Tabulka1[[#This Row],[rozpočet]]*1)</f>
        <v>-7920</v>
      </c>
    </row>
    <row r="84" spans="1:10" hidden="1" x14ac:dyDescent="0.25">
      <c r="A84" t="s">
        <v>483</v>
      </c>
      <c r="B84">
        <v>3613</v>
      </c>
      <c r="C84">
        <v>5021</v>
      </c>
      <c r="D84" s="34">
        <f>Tabulka1[[#This Row],[pomocné]]*12</f>
        <v>7920</v>
      </c>
      <c r="E84" t="s">
        <v>118</v>
      </c>
      <c r="F84" s="34">
        <v>660</v>
      </c>
      <c r="G84" t="str">
        <f>VLOOKUP(Tabulka1[[#This Row],[paragraf]],paragrafy!A:C,3,0)</f>
        <v xml:space="preserve">3613 - Nebytové hospodářství
</v>
      </c>
      <c r="H84" t="str">
        <f>VLOOKUP(Tabulka1[[#This Row],[položka]],položky!A:C,3,0)</f>
        <v xml:space="preserve">5021 - Ostatní osobní výdaje
</v>
      </c>
      <c r="I84" t="str">
        <f>Tabulka1[[#This Row],[paragraf]]&amp;"  "&amp;Tabulka1[[#This Row],[položka+název.položky]]</f>
        <v xml:space="preserve">3613  5021 - Ostatní osobní výdaje
</v>
      </c>
      <c r="J84" s="50">
        <f>IF(Tabulka1[[#This Row],[typ]]="02 - výdej",Tabulka1[[#This Row],[rozpočet]]*(-1),Tabulka1[[#This Row],[rozpočet]]*1)</f>
        <v>-7920</v>
      </c>
    </row>
    <row r="85" spans="1:10" hidden="1" x14ac:dyDescent="0.25">
      <c r="A85" t="s">
        <v>483</v>
      </c>
      <c r="B85">
        <v>3613</v>
      </c>
      <c r="C85">
        <v>5021</v>
      </c>
      <c r="D85" s="34">
        <f>Tabulka1[[#This Row],[pomocné]]*12</f>
        <v>7920</v>
      </c>
      <c r="E85" t="s">
        <v>119</v>
      </c>
      <c r="F85" s="34">
        <v>660</v>
      </c>
      <c r="G85" t="str">
        <f>VLOOKUP(Tabulka1[[#This Row],[paragraf]],paragrafy!A:C,3,0)</f>
        <v xml:space="preserve">3613 - Nebytové hospodářství
</v>
      </c>
      <c r="H85" t="str">
        <f>VLOOKUP(Tabulka1[[#This Row],[položka]],položky!A:C,3,0)</f>
        <v xml:space="preserve">5021 - Ostatní osobní výdaje
</v>
      </c>
      <c r="I85" t="str">
        <f>Tabulka1[[#This Row],[paragraf]]&amp;"  "&amp;Tabulka1[[#This Row],[položka+název.položky]]</f>
        <v xml:space="preserve">3613  5021 - Ostatní osobní výdaje
</v>
      </c>
      <c r="J85" s="50">
        <f>IF(Tabulka1[[#This Row],[typ]]="02 - výdej",Tabulka1[[#This Row],[rozpočet]]*(-1),Tabulka1[[#This Row],[rozpočet]]*1)</f>
        <v>-7920</v>
      </c>
    </row>
    <row r="86" spans="1:10" hidden="1" x14ac:dyDescent="0.25">
      <c r="A86" t="s">
        <v>483</v>
      </c>
      <c r="B86">
        <v>3613</v>
      </c>
      <c r="C86">
        <v>5137</v>
      </c>
      <c r="D86" s="34">
        <v>2000</v>
      </c>
      <c r="E86" t="s">
        <v>447</v>
      </c>
      <c r="G86" t="str">
        <f>VLOOKUP(Tabulka1[[#This Row],[paragraf]],paragrafy!A:C,3,0)</f>
        <v xml:space="preserve">3613 - Nebytové hospodářství
</v>
      </c>
      <c r="H86" t="str">
        <f>VLOOKUP(Tabulka1[[#This Row],[položka]],položky!A:C,3,0)</f>
        <v xml:space="preserve">5137 - Drobný dlouhodobý hmotný majetek
</v>
      </c>
      <c r="I86" t="str">
        <f>Tabulka1[[#This Row],[paragraf]]&amp;"  "&amp;Tabulka1[[#This Row],[položka+název.položky]]</f>
        <v xml:space="preserve">3613  5137 - Drobný dlouhodobý hmotný majetek
</v>
      </c>
      <c r="J86" s="50">
        <f>IF(Tabulka1[[#This Row],[typ]]="02 - výdej",Tabulka1[[#This Row],[rozpočet]]*(-1),Tabulka1[[#This Row],[rozpočet]]*1)</f>
        <v>-2000</v>
      </c>
    </row>
    <row r="87" spans="1:10" hidden="1" x14ac:dyDescent="0.25">
      <c r="A87" t="s">
        <v>483</v>
      </c>
      <c r="B87">
        <v>3613</v>
      </c>
      <c r="C87">
        <v>5151</v>
      </c>
      <c r="D87" s="34">
        <f>F87*4</f>
        <v>3840</v>
      </c>
      <c r="E87" t="s">
        <v>98</v>
      </c>
      <c r="F87" s="34">
        <f>2*480</f>
        <v>960</v>
      </c>
      <c r="G87" t="str">
        <f>VLOOKUP(Tabulka1[[#This Row],[paragraf]],paragrafy!A:C,3,0)</f>
        <v xml:space="preserve">3613 - Nebytové hospodářství
</v>
      </c>
      <c r="H87" t="str">
        <f>VLOOKUP(Tabulka1[[#This Row],[položka]],položky!A:C,3,0)</f>
        <v xml:space="preserve">5151 - Studená voda
</v>
      </c>
      <c r="I87" t="str">
        <f>Tabulka1[[#This Row],[paragraf]]&amp;"  "&amp;Tabulka1[[#This Row],[položka+název.položky]]</f>
        <v xml:space="preserve">3613  5151 - Studená voda
</v>
      </c>
      <c r="J87">
        <f>IF(Tabulka1[[#This Row],[typ]]="02 - výdej",Tabulka1[[#This Row],[rozpočet]]*(-1),Tabulka1[[#This Row],[rozpočet]]*1)</f>
        <v>-3840</v>
      </c>
    </row>
    <row r="88" spans="1:10" hidden="1" x14ac:dyDescent="0.25">
      <c r="A88" t="s">
        <v>483</v>
      </c>
      <c r="B88" s="51">
        <v>3613</v>
      </c>
      <c r="C88" s="51">
        <v>5151</v>
      </c>
      <c r="D88" s="34">
        <f>F88*4</f>
        <v>7200</v>
      </c>
      <c r="E88" s="51" t="s">
        <v>462</v>
      </c>
      <c r="F88" s="52">
        <f>2*900</f>
        <v>1800</v>
      </c>
      <c r="G88" s="51" t="str">
        <f>VLOOKUP(Tabulka1[[#This Row],[paragraf]],paragrafy!A:C,3,0)</f>
        <v xml:space="preserve">3613 - Nebytové hospodářství
</v>
      </c>
      <c r="H88" s="51" t="str">
        <f>VLOOKUP(Tabulka1[[#This Row],[položka]],položky!A:C,3,0)</f>
        <v xml:space="preserve">5151 - Studená voda
</v>
      </c>
      <c r="I88" s="51" t="str">
        <f>Tabulka1[[#This Row],[paragraf]]&amp;"  "&amp;Tabulka1[[#This Row],[položka+název.položky]]</f>
        <v xml:space="preserve">3613  5151 - Studená voda
</v>
      </c>
      <c r="J88">
        <f>IF(Tabulka1[[#This Row],[typ]]="02 - výdej",Tabulka1[[#This Row],[rozpočet]]*(-1),Tabulka1[[#This Row],[rozpočet]]*1)</f>
        <v>-7200</v>
      </c>
    </row>
    <row r="89" spans="1:10" hidden="1" x14ac:dyDescent="0.25">
      <c r="A89" t="s">
        <v>483</v>
      </c>
      <c r="B89">
        <v>3613</v>
      </c>
      <c r="C89">
        <v>5154</v>
      </c>
      <c r="D89" s="34">
        <f>F89*12</f>
        <v>28440</v>
      </c>
      <c r="E89" t="s">
        <v>76</v>
      </c>
      <c r="F89" s="34">
        <f>3*790</f>
        <v>2370</v>
      </c>
      <c r="G89" t="str">
        <f>VLOOKUP(Tabulka1[[#This Row],[paragraf]],paragrafy!A:C,3,0)</f>
        <v xml:space="preserve">3613 - Nebytové hospodářství
</v>
      </c>
      <c r="H89" t="str">
        <f>VLOOKUP(Tabulka1[[#This Row],[položka]],položky!A:C,3,0)</f>
        <v xml:space="preserve">5154 - Elektrická energie
</v>
      </c>
      <c r="I89" t="str">
        <f>Tabulka1[[#This Row],[paragraf]]&amp;"  "&amp;Tabulka1[[#This Row],[položka+název.položky]]</f>
        <v xml:space="preserve">3613  5154 - Elektrická energie
</v>
      </c>
      <c r="J89">
        <f>IF(Tabulka1[[#This Row],[typ]]="02 - výdej",Tabulka1[[#This Row],[rozpočet]]*(-1),Tabulka1[[#This Row],[rozpočet]]*1)</f>
        <v>-28440</v>
      </c>
    </row>
    <row r="90" spans="1:10" hidden="1" x14ac:dyDescent="0.25">
      <c r="A90" t="s">
        <v>483</v>
      </c>
      <c r="B90">
        <v>3613</v>
      </c>
      <c r="C90">
        <v>5154</v>
      </c>
      <c r="D90" s="34">
        <f>F90*12</f>
        <v>4320</v>
      </c>
      <c r="E90" t="s">
        <v>77</v>
      </c>
      <c r="F90" s="34">
        <f>3*120</f>
        <v>360</v>
      </c>
      <c r="G90" t="str">
        <f>VLOOKUP(Tabulka1[[#This Row],[paragraf]],paragrafy!A:C,3,0)</f>
        <v xml:space="preserve">3613 - Nebytové hospodářství
</v>
      </c>
      <c r="H90" t="str">
        <f>VLOOKUP(Tabulka1[[#This Row],[položka]],položky!A:C,3,0)</f>
        <v xml:space="preserve">5154 - Elektrická energie
</v>
      </c>
      <c r="I90" t="str">
        <f>Tabulka1[[#This Row],[paragraf]]&amp;"  "&amp;Tabulka1[[#This Row],[položka+název.položky]]</f>
        <v xml:space="preserve">3613  5154 - Elektrická energie
</v>
      </c>
      <c r="J90">
        <f>IF(Tabulka1[[#This Row],[typ]]="02 - výdej",Tabulka1[[#This Row],[rozpočet]]*(-1),Tabulka1[[#This Row],[rozpočet]]*1)</f>
        <v>-4320</v>
      </c>
    </row>
    <row r="91" spans="1:10" hidden="1" x14ac:dyDescent="0.25">
      <c r="A91" t="s">
        <v>483</v>
      </c>
      <c r="B91">
        <v>3613</v>
      </c>
      <c r="C91">
        <v>5154</v>
      </c>
      <c r="D91" s="34">
        <f>F91*12</f>
        <v>30600</v>
      </c>
      <c r="E91" t="s">
        <v>81</v>
      </c>
      <c r="F91" s="34">
        <f>3*850</f>
        <v>2550</v>
      </c>
      <c r="G91" t="str">
        <f>VLOOKUP(Tabulka1[[#This Row],[paragraf]],paragrafy!A:C,3,0)</f>
        <v xml:space="preserve">3613 - Nebytové hospodářství
</v>
      </c>
      <c r="H91" t="str">
        <f>VLOOKUP(Tabulka1[[#This Row],[položka]],položky!A:C,3,0)</f>
        <v xml:space="preserve">5154 - Elektrická energie
</v>
      </c>
      <c r="I91" t="str">
        <f>Tabulka1[[#This Row],[paragraf]]&amp;"  "&amp;Tabulka1[[#This Row],[položka+název.položky]]</f>
        <v xml:space="preserve">3613  5154 - Elektrická energie
</v>
      </c>
      <c r="J91">
        <f>IF(Tabulka1[[#This Row],[typ]]="02 - výdej",Tabulka1[[#This Row],[rozpočet]]*(-1),Tabulka1[[#This Row],[rozpočet]]*1)</f>
        <v>-30600</v>
      </c>
    </row>
    <row r="92" spans="1:10" hidden="1" x14ac:dyDescent="0.25">
      <c r="A92" t="s">
        <v>483</v>
      </c>
      <c r="B92">
        <v>3613</v>
      </c>
      <c r="C92">
        <v>5154</v>
      </c>
      <c r="D92" s="34">
        <f>F92*12</f>
        <v>35640</v>
      </c>
      <c r="E92" t="s">
        <v>79</v>
      </c>
      <c r="F92" s="34">
        <f>3*990</f>
        <v>2970</v>
      </c>
      <c r="G92" t="str">
        <f>VLOOKUP(Tabulka1[[#This Row],[paragraf]],paragrafy!A:C,3,0)</f>
        <v xml:space="preserve">3613 - Nebytové hospodářství
</v>
      </c>
      <c r="H92" t="str">
        <f>VLOOKUP(Tabulka1[[#This Row],[položka]],položky!A:C,3,0)</f>
        <v xml:space="preserve">5154 - Elektrická energie
</v>
      </c>
      <c r="I92" t="str">
        <f>Tabulka1[[#This Row],[paragraf]]&amp;"  "&amp;Tabulka1[[#This Row],[položka+název.položky]]</f>
        <v xml:space="preserve">3613  5154 - Elektrická energie
</v>
      </c>
      <c r="J92">
        <f>IF(Tabulka1[[#This Row],[typ]]="02 - výdej",Tabulka1[[#This Row],[rozpočet]]*(-1),Tabulka1[[#This Row],[rozpočet]]*1)</f>
        <v>-35640</v>
      </c>
    </row>
    <row r="93" spans="1:10" hidden="1" x14ac:dyDescent="0.25">
      <c r="A93" t="s">
        <v>483</v>
      </c>
      <c r="B93">
        <v>3613</v>
      </c>
      <c r="C93">
        <v>5154</v>
      </c>
      <c r="D93" s="34">
        <f>F93*12</f>
        <v>49320</v>
      </c>
      <c r="E93" t="s">
        <v>86</v>
      </c>
      <c r="F93" s="34">
        <f>3*1370</f>
        <v>4110</v>
      </c>
      <c r="G93" t="str">
        <f>VLOOKUP(Tabulka1[[#This Row],[paragraf]],paragrafy!A:C,3,0)</f>
        <v xml:space="preserve">3613 - Nebytové hospodářství
</v>
      </c>
      <c r="H93" t="str">
        <f>VLOOKUP(Tabulka1[[#This Row],[položka]],položky!A:C,3,0)</f>
        <v xml:space="preserve">5154 - Elektrická energie
</v>
      </c>
      <c r="I93" t="str">
        <f>Tabulka1[[#This Row],[paragraf]]&amp;"  "&amp;Tabulka1[[#This Row],[položka+název.položky]]</f>
        <v xml:space="preserve">3613  5154 - Elektrická energie
</v>
      </c>
      <c r="J93">
        <f>IF(Tabulka1[[#This Row],[typ]]="02 - výdej",Tabulka1[[#This Row],[rozpočet]]*(-1),Tabulka1[[#This Row],[rozpočet]]*1)</f>
        <v>-49320</v>
      </c>
    </row>
    <row r="94" spans="1:10" hidden="1" x14ac:dyDescent="0.25">
      <c r="A94" t="s">
        <v>483</v>
      </c>
      <c r="B94">
        <v>3613</v>
      </c>
      <c r="C94">
        <v>5169</v>
      </c>
      <c r="D94" s="34">
        <v>5000</v>
      </c>
      <c r="E94" t="s">
        <v>447</v>
      </c>
      <c r="G94" t="str">
        <f>VLOOKUP(Tabulka1[[#This Row],[paragraf]],paragrafy!A:C,3,0)</f>
        <v xml:space="preserve">3613 - Nebytové hospodářství
</v>
      </c>
      <c r="H94" t="str">
        <f>VLOOKUP(Tabulka1[[#This Row],[položka]],položky!A:C,3,0)</f>
        <v xml:space="preserve">5169 - Nákup ostatních služeb
</v>
      </c>
      <c r="I94" t="str">
        <f>Tabulka1[[#This Row],[paragraf]]&amp;"  "&amp;Tabulka1[[#This Row],[položka+název.položky]]</f>
        <v xml:space="preserve">3613  5169 - Nákup ostatních služeb
</v>
      </c>
      <c r="J94" s="50">
        <f>IF(Tabulka1[[#This Row],[typ]]="02 - výdej",Tabulka1[[#This Row],[rozpočet]]*(-1),Tabulka1[[#This Row],[rozpočet]]*1)</f>
        <v>-5000</v>
      </c>
    </row>
    <row r="95" spans="1:10" hidden="1" x14ac:dyDescent="0.25">
      <c r="A95" t="s">
        <v>483</v>
      </c>
      <c r="B95">
        <v>3613</v>
      </c>
      <c r="C95">
        <v>5171</v>
      </c>
      <c r="D95" s="34">
        <v>250000</v>
      </c>
      <c r="E95" t="s">
        <v>503</v>
      </c>
      <c r="G95" s="50" t="str">
        <f>VLOOKUP(Tabulka1[[#This Row],[paragraf]],paragrafy!A:C,3,0)</f>
        <v xml:space="preserve">3613 - Nebytové hospodářství
</v>
      </c>
      <c r="H95" s="50" t="str">
        <f>VLOOKUP(Tabulka1[[#This Row],[položka]],položky!A:C,3,0)</f>
        <v xml:space="preserve">5171 - Opravy a udržování
</v>
      </c>
      <c r="I95" s="50" t="str">
        <f>Tabulka1[[#This Row],[paragraf]]&amp;"  "&amp;Tabulka1[[#This Row],[položka+název.položky]]</f>
        <v xml:space="preserve">3613  5171 - Opravy a udržování
</v>
      </c>
      <c r="J95" s="50">
        <f>IF(Tabulka1[[#This Row],[typ]]="02 - výdej",Tabulka1[[#This Row],[rozpočet]]*(-1),Tabulka1[[#This Row],[rozpočet]]*1)</f>
        <v>-250000</v>
      </c>
    </row>
    <row r="96" spans="1:10" hidden="1" x14ac:dyDescent="0.25">
      <c r="A96" t="s">
        <v>483</v>
      </c>
      <c r="B96">
        <v>3613</v>
      </c>
      <c r="C96">
        <v>6121</v>
      </c>
      <c r="D96" s="34">
        <v>400000</v>
      </c>
      <c r="E96" t="s">
        <v>444</v>
      </c>
      <c r="G96" s="50" t="str">
        <f>VLOOKUP(Tabulka1[[#This Row],[paragraf]],paragrafy!A:C,3,0)</f>
        <v xml:space="preserve">3613 - Nebytové hospodářství
</v>
      </c>
      <c r="H96" s="50" t="str">
        <f>VLOOKUP(Tabulka1[[#This Row],[položka]],položky!A:C,3,0)</f>
        <v xml:space="preserve">6121 - Budovy, haly a stavby
</v>
      </c>
      <c r="I96" s="50" t="str">
        <f>Tabulka1[[#This Row],[paragraf]]&amp;"  "&amp;Tabulka1[[#This Row],[položka+název.položky]]</f>
        <v xml:space="preserve">3613  6121 - Budovy, haly a stavby
</v>
      </c>
      <c r="J96" s="50">
        <f>IF(Tabulka1[[#This Row],[typ]]="02 - výdej",Tabulka1[[#This Row],[rozpočet]]*(-1),Tabulka1[[#This Row],[rozpočet]]*1)</f>
        <v>-400000</v>
      </c>
    </row>
    <row r="97" spans="1:10" hidden="1" x14ac:dyDescent="0.25">
      <c r="A97" t="s">
        <v>483</v>
      </c>
      <c r="B97">
        <v>3631</v>
      </c>
      <c r="C97">
        <v>5154</v>
      </c>
      <c r="D97" s="34">
        <f>F97*12*1.01</f>
        <v>86900.4</v>
      </c>
      <c r="E97" t="s">
        <v>74</v>
      </c>
      <c r="F97" s="34">
        <f>3*2390</f>
        <v>7170</v>
      </c>
      <c r="G97" t="str">
        <f>VLOOKUP(Tabulka1[[#This Row],[paragraf]],paragrafy!A:C,3,0)</f>
        <v xml:space="preserve">3631 - Veřejné osvětlení
</v>
      </c>
      <c r="H97" t="str">
        <f>VLOOKUP(Tabulka1[[#This Row],[položka]],položky!A:C,3,0)</f>
        <v xml:space="preserve">5154 - Elektrická energie
</v>
      </c>
      <c r="I97" t="str">
        <f>Tabulka1[[#This Row],[paragraf]]&amp;"  "&amp;Tabulka1[[#This Row],[položka+název.položky]]</f>
        <v xml:space="preserve">3631  5154 - Elektrická energie
</v>
      </c>
      <c r="J97">
        <f>IF(Tabulka1[[#This Row],[typ]]="02 - výdej",Tabulka1[[#This Row],[rozpočet]]*(-1),Tabulka1[[#This Row],[rozpočet]]*1)</f>
        <v>-86900.4</v>
      </c>
    </row>
    <row r="98" spans="1:10" hidden="1" x14ac:dyDescent="0.25">
      <c r="A98" t="s">
        <v>482</v>
      </c>
      <c r="B98">
        <v>3639</v>
      </c>
      <c r="C98">
        <v>2131</v>
      </c>
      <c r="D98" s="34">
        <v>1</v>
      </c>
      <c r="E98" t="s">
        <v>111</v>
      </c>
      <c r="G98" t="str">
        <f>VLOOKUP(Tabulka1[[#This Row],[paragraf]],paragrafy!A:C,3,0)</f>
        <v>3639 - Komunální služby a územní rozvoj j.n.</v>
      </c>
      <c r="H98" t="str">
        <f>VLOOKUP(Tabulka1[[#This Row],[položka]],položky!A:C,3,0)</f>
        <v xml:space="preserve">2131 - Příjmy z pronájmu pozemků
</v>
      </c>
      <c r="I98" t="str">
        <f>Tabulka1[[#This Row],[paragraf]]&amp;"  "&amp;Tabulka1[[#This Row],[položka+název.položky]]</f>
        <v xml:space="preserve">3639  2131 - Příjmy z pronájmu pozemků
</v>
      </c>
      <c r="J98">
        <f>IF(Tabulka1[[#This Row],[typ]]="02 - výdej",Tabulka1[[#This Row],[rozpočet]]*(-1),Tabulka1[[#This Row],[rozpočet]]*1)</f>
        <v>1</v>
      </c>
    </row>
    <row r="99" spans="1:10" hidden="1" x14ac:dyDescent="0.25">
      <c r="A99" t="s">
        <v>483</v>
      </c>
      <c r="B99">
        <v>3631</v>
      </c>
      <c r="C99">
        <v>5154</v>
      </c>
      <c r="D99" s="34">
        <f>F99*12*1.01</f>
        <v>81446.399999999994</v>
      </c>
      <c r="E99" t="s">
        <v>78</v>
      </c>
      <c r="F99" s="34">
        <f>3*2240</f>
        <v>6720</v>
      </c>
      <c r="G99" t="str">
        <f>VLOOKUP(Tabulka1[[#This Row],[paragraf]],paragrafy!A:C,3,0)</f>
        <v xml:space="preserve">3631 - Veřejné osvětlení
</v>
      </c>
      <c r="H99" t="str">
        <f>VLOOKUP(Tabulka1[[#This Row],[položka]],položky!A:C,3,0)</f>
        <v xml:space="preserve">5154 - Elektrická energie
</v>
      </c>
      <c r="I99" t="str">
        <f>Tabulka1[[#This Row],[paragraf]]&amp;"  "&amp;Tabulka1[[#This Row],[položka+název.položky]]</f>
        <v xml:space="preserve">3631  5154 - Elektrická energie
</v>
      </c>
      <c r="J99">
        <f>IF(Tabulka1[[#This Row],[typ]]="02 - výdej",Tabulka1[[#This Row],[rozpočet]]*(-1),Tabulka1[[#This Row],[rozpočet]]*1)</f>
        <v>-81446.399999999994</v>
      </c>
    </row>
    <row r="100" spans="1:10" hidden="1" x14ac:dyDescent="0.25">
      <c r="A100" t="s">
        <v>483</v>
      </c>
      <c r="B100">
        <v>3631</v>
      </c>
      <c r="C100">
        <v>5154</v>
      </c>
      <c r="D100" s="34">
        <f>F100*12*1.01</f>
        <v>106171.2</v>
      </c>
      <c r="E100" t="s">
        <v>83</v>
      </c>
      <c r="F100" s="34">
        <f>3*2920</f>
        <v>8760</v>
      </c>
      <c r="G100" t="str">
        <f>VLOOKUP(Tabulka1[[#This Row],[paragraf]],paragrafy!A:C,3,0)</f>
        <v xml:space="preserve">3631 - Veřejné osvětlení
</v>
      </c>
      <c r="H100" t="str">
        <f>VLOOKUP(Tabulka1[[#This Row],[položka]],položky!A:C,3,0)</f>
        <v xml:space="preserve">5154 - Elektrická energie
</v>
      </c>
      <c r="I100" t="str">
        <f>Tabulka1[[#This Row],[paragraf]]&amp;"  "&amp;Tabulka1[[#This Row],[položka+název.položky]]</f>
        <v xml:space="preserve">3631  5154 - Elektrická energie
</v>
      </c>
      <c r="J100">
        <f>IF(Tabulka1[[#This Row],[typ]]="02 - výdej",Tabulka1[[#This Row],[rozpočet]]*(-1),Tabulka1[[#This Row],[rozpočet]]*1)</f>
        <v>-106171.2</v>
      </c>
    </row>
    <row r="101" spans="1:10" hidden="1" x14ac:dyDescent="0.25">
      <c r="A101" t="s">
        <v>483</v>
      </c>
      <c r="B101">
        <v>3631</v>
      </c>
      <c r="C101">
        <v>5171</v>
      </c>
      <c r="D101" s="34">
        <v>100000</v>
      </c>
      <c r="E101" t="s">
        <v>477</v>
      </c>
      <c r="G101" t="str">
        <f>VLOOKUP(Tabulka1[[#This Row],[paragraf]],paragrafy!A:C,3,0)</f>
        <v xml:space="preserve">3631 - Veřejné osvětlení
</v>
      </c>
      <c r="H101" t="str">
        <f>VLOOKUP(Tabulka1[[#This Row],[položka]],položky!A:C,3,0)</f>
        <v xml:space="preserve">5171 - Opravy a udržování
</v>
      </c>
      <c r="I101" t="str">
        <f>Tabulka1[[#This Row],[paragraf]]&amp;"  "&amp;Tabulka1[[#This Row],[položka+název.položky]]</f>
        <v xml:space="preserve">3631  5171 - Opravy a udržování
</v>
      </c>
      <c r="J101" s="50">
        <f>IF(Tabulka1[[#This Row],[typ]]="02 - výdej",Tabulka1[[#This Row],[rozpočet]]*(-1),Tabulka1[[#This Row],[rozpočet]]*1)</f>
        <v>-100000</v>
      </c>
    </row>
    <row r="102" spans="1:10" hidden="1" x14ac:dyDescent="0.25">
      <c r="A102" t="s">
        <v>483</v>
      </c>
      <c r="B102">
        <v>3632</v>
      </c>
      <c r="C102">
        <v>5139</v>
      </c>
      <c r="D102" s="34">
        <v>2000</v>
      </c>
      <c r="E102" t="s">
        <v>447</v>
      </c>
      <c r="G102" t="str">
        <f>VLOOKUP(Tabulka1[[#This Row],[paragraf]],paragrafy!A:C,3,0)</f>
        <v xml:space="preserve">3632 - Pohřebnictví
</v>
      </c>
      <c r="H102" t="str">
        <f>VLOOKUP(Tabulka1[[#This Row],[položka]],položky!A:C,3,0)</f>
        <v xml:space="preserve">5139 - Nákup materiálu j.n.
</v>
      </c>
      <c r="I102" t="str">
        <f>Tabulka1[[#This Row],[paragraf]]&amp;"  "&amp;Tabulka1[[#This Row],[položka+název.položky]]</f>
        <v xml:space="preserve">3632  5139 - Nákup materiálu j.n.
</v>
      </c>
      <c r="J102" s="50">
        <f>IF(Tabulka1[[#This Row],[typ]]="02 - výdej",Tabulka1[[#This Row],[rozpočet]]*(-1),Tabulka1[[#This Row],[rozpočet]]*1)</f>
        <v>-2000</v>
      </c>
    </row>
    <row r="103" spans="1:10" hidden="1" x14ac:dyDescent="0.25">
      <c r="A103" t="s">
        <v>483</v>
      </c>
      <c r="B103">
        <v>3632</v>
      </c>
      <c r="C103">
        <v>5171</v>
      </c>
      <c r="D103" s="34">
        <v>10000</v>
      </c>
      <c r="E103" t="s">
        <v>447</v>
      </c>
      <c r="G103" t="str">
        <f>VLOOKUP(Tabulka1[[#This Row],[paragraf]],paragrafy!A:C,3,0)</f>
        <v xml:space="preserve">3632 - Pohřebnictví
</v>
      </c>
      <c r="H103" t="str">
        <f>VLOOKUP(Tabulka1[[#This Row],[položka]],položky!A:C,3,0)</f>
        <v xml:space="preserve">5171 - Opravy a udržování
</v>
      </c>
      <c r="I103" t="str">
        <f>Tabulka1[[#This Row],[paragraf]]&amp;"  "&amp;Tabulka1[[#This Row],[položka+název.položky]]</f>
        <v xml:space="preserve">3632  5171 - Opravy a udržování
</v>
      </c>
      <c r="J103" s="50">
        <f>IF(Tabulka1[[#This Row],[typ]]="02 - výdej",Tabulka1[[#This Row],[rozpočet]]*(-1),Tabulka1[[#This Row],[rozpočet]]*1)</f>
        <v>-10000</v>
      </c>
    </row>
    <row r="104" spans="1:10" hidden="1" x14ac:dyDescent="0.25">
      <c r="A104" t="s">
        <v>483</v>
      </c>
      <c r="B104">
        <v>3721</v>
      </c>
      <c r="C104">
        <v>5169</v>
      </c>
      <c r="D104" s="34">
        <v>18000</v>
      </c>
      <c r="E104" t="s">
        <v>447</v>
      </c>
      <c r="G104" t="str">
        <f>VLOOKUP(Tabulka1[[#This Row],[paragraf]],paragrafy!A:C,3,0)</f>
        <v xml:space="preserve">3721 - Sběr a svoz nebezpečných odpadů
</v>
      </c>
      <c r="H104" t="str">
        <f>VLOOKUP(Tabulka1[[#This Row],[položka]],položky!A:C,3,0)</f>
        <v xml:space="preserve">5169 - Nákup ostatních služeb
</v>
      </c>
      <c r="I104" t="str">
        <f>Tabulka1[[#This Row],[paragraf]]&amp;"  "&amp;Tabulka1[[#This Row],[položka+název.položky]]</f>
        <v xml:space="preserve">3721  5169 - Nákup ostatních služeb
</v>
      </c>
      <c r="J104" s="50">
        <f>IF(Tabulka1[[#This Row],[typ]]="02 - výdej",Tabulka1[[#This Row],[rozpočet]]*(-1),Tabulka1[[#This Row],[rozpočet]]*1)</f>
        <v>-18000</v>
      </c>
    </row>
    <row r="105" spans="1:10" hidden="1" x14ac:dyDescent="0.25">
      <c r="A105" t="s">
        <v>483</v>
      </c>
      <c r="B105">
        <v>3722</v>
      </c>
      <c r="C105">
        <v>5169</v>
      </c>
      <c r="D105" s="34">
        <f>(607000/9*12)*1.2</f>
        <v>971199.99999999988</v>
      </c>
      <c r="E105" t="s">
        <v>463</v>
      </c>
      <c r="G105" t="str">
        <f>VLOOKUP(Tabulka1[[#This Row],[paragraf]],paragrafy!A:C,3,0)</f>
        <v xml:space="preserve">3722 - Sběr a svoz komunálních odpadů
</v>
      </c>
      <c r="H105" t="str">
        <f>VLOOKUP(Tabulka1[[#This Row],[položka]],položky!A:C,3,0)</f>
        <v xml:space="preserve">5169 - Nákup ostatních služeb
</v>
      </c>
      <c r="I105" t="str">
        <f>Tabulka1[[#This Row],[paragraf]]&amp;"  "&amp;Tabulka1[[#This Row],[položka+název.položky]]</f>
        <v xml:space="preserve">3722  5169 - Nákup ostatních služeb
</v>
      </c>
      <c r="J105" s="50">
        <f>IF(Tabulka1[[#This Row],[typ]]="02 - výdej",Tabulka1[[#This Row],[rozpočet]]*(-1),Tabulka1[[#This Row],[rozpočet]]*1)</f>
        <v>-971199.99999999988</v>
      </c>
    </row>
    <row r="106" spans="1:10" hidden="1" x14ac:dyDescent="0.25">
      <c r="A106" t="s">
        <v>483</v>
      </c>
      <c r="B106">
        <v>3745</v>
      </c>
      <c r="C106">
        <v>5021</v>
      </c>
      <c r="D106" s="34">
        <v>20000</v>
      </c>
      <c r="E106" t="s">
        <v>468</v>
      </c>
      <c r="G106" t="str">
        <f>VLOOKUP(Tabulka1[[#This Row],[paragraf]],paragrafy!A:C,3,0)</f>
        <v xml:space="preserve">3745 - Péče o vzhled obcí a veřejnou zeleň
</v>
      </c>
      <c r="H106" t="str">
        <f>VLOOKUP(Tabulka1[[#This Row],[položka]],položky!A:C,3,0)</f>
        <v xml:space="preserve">5021 - Ostatní osobní výdaje
</v>
      </c>
      <c r="I106" t="str">
        <f>Tabulka1[[#This Row],[paragraf]]&amp;"  "&amp;Tabulka1[[#This Row],[položka+název.položky]]</f>
        <v xml:space="preserve">3745  5021 - Ostatní osobní výdaje
</v>
      </c>
      <c r="J106" s="50">
        <f>IF(Tabulka1[[#This Row],[typ]]="02 - výdej",Tabulka1[[#This Row],[rozpočet]]*(-1),Tabulka1[[#This Row],[rozpočet]]*1)</f>
        <v>-20000</v>
      </c>
    </row>
    <row r="107" spans="1:10" hidden="1" x14ac:dyDescent="0.25">
      <c r="A107" t="s">
        <v>483</v>
      </c>
      <c r="B107">
        <v>3745</v>
      </c>
      <c r="C107">
        <v>5139</v>
      </c>
      <c r="D107" s="34">
        <v>12000</v>
      </c>
      <c r="E107" t="s">
        <v>470</v>
      </c>
      <c r="G107" t="str">
        <f>VLOOKUP(Tabulka1[[#This Row],[paragraf]],paragrafy!A:C,3,0)</f>
        <v xml:space="preserve">3745 - Péče o vzhled obcí a veřejnou zeleň
</v>
      </c>
      <c r="H107" t="str">
        <f>VLOOKUP(Tabulka1[[#This Row],[položka]],položky!A:C,3,0)</f>
        <v xml:space="preserve">5139 - Nákup materiálu j.n.
</v>
      </c>
      <c r="I107" t="str">
        <f>Tabulka1[[#This Row],[paragraf]]&amp;"  "&amp;Tabulka1[[#This Row],[položka+název.položky]]</f>
        <v xml:space="preserve">3745  5139 - Nákup materiálu j.n.
</v>
      </c>
      <c r="J107" s="50">
        <f>IF(Tabulka1[[#This Row],[typ]]="02 - výdej",Tabulka1[[#This Row],[rozpočet]]*(-1),Tabulka1[[#This Row],[rozpočet]]*1)</f>
        <v>-12000</v>
      </c>
    </row>
    <row r="108" spans="1:10" hidden="1" x14ac:dyDescent="0.25">
      <c r="A108" t="s">
        <v>483</v>
      </c>
      <c r="B108">
        <v>3745</v>
      </c>
      <c r="C108">
        <v>5139</v>
      </c>
      <c r="D108" s="34">
        <v>30000</v>
      </c>
      <c r="E108" t="s">
        <v>434</v>
      </c>
      <c r="G108" s="50" t="str">
        <f>VLOOKUP(Tabulka1[[#This Row],[paragraf]],paragrafy!A:C,3,0)</f>
        <v xml:space="preserve">3745 - Péče o vzhled obcí a veřejnou zeleň
</v>
      </c>
      <c r="H108" s="50" t="str">
        <f>VLOOKUP(Tabulka1[[#This Row],[položka]],položky!A:C,3,0)</f>
        <v xml:space="preserve">5139 - Nákup materiálu j.n.
</v>
      </c>
      <c r="I108" s="50" t="str">
        <f>Tabulka1[[#This Row],[paragraf]]&amp;"  "&amp;Tabulka1[[#This Row],[položka+název.položky]]</f>
        <v xml:space="preserve">3745  5139 - Nákup materiálu j.n.
</v>
      </c>
      <c r="J108" s="50">
        <f>IF(Tabulka1[[#This Row],[typ]]="02 - výdej",Tabulka1[[#This Row],[rozpočet]]*(-1),Tabulka1[[#This Row],[rozpočet]]*1)</f>
        <v>-30000</v>
      </c>
    </row>
    <row r="109" spans="1:10" hidden="1" x14ac:dyDescent="0.25">
      <c r="A109" t="s">
        <v>483</v>
      </c>
      <c r="B109">
        <v>3745</v>
      </c>
      <c r="C109">
        <v>5156</v>
      </c>
      <c r="D109" s="34">
        <f>30000/9*12</f>
        <v>40000</v>
      </c>
      <c r="E109" t="s">
        <v>447</v>
      </c>
      <c r="G109" t="str">
        <f>VLOOKUP(Tabulka1[[#This Row],[paragraf]],paragrafy!A:C,3,0)</f>
        <v xml:space="preserve">3745 - Péče o vzhled obcí a veřejnou zeleň
</v>
      </c>
      <c r="H109" t="str">
        <f>VLOOKUP(Tabulka1[[#This Row],[položka]],položky!A:C,3,0)</f>
        <v xml:space="preserve">5156 - Pohonné hmoty a maziva
</v>
      </c>
      <c r="I109" t="str">
        <f>Tabulka1[[#This Row],[paragraf]]&amp;"  "&amp;Tabulka1[[#This Row],[položka+název.položky]]</f>
        <v xml:space="preserve">3745  5156 - Pohonné hmoty a maziva
</v>
      </c>
      <c r="J109" s="50">
        <f>IF(Tabulka1[[#This Row],[typ]]="02 - výdej",Tabulka1[[#This Row],[rozpočet]]*(-1),Tabulka1[[#This Row],[rozpočet]]*1)</f>
        <v>-40000</v>
      </c>
    </row>
    <row r="110" spans="1:10" hidden="1" x14ac:dyDescent="0.25">
      <c r="A110" t="s">
        <v>483</v>
      </c>
      <c r="B110">
        <v>3745</v>
      </c>
      <c r="C110">
        <v>5163</v>
      </c>
      <c r="D110" s="34">
        <v>23000</v>
      </c>
      <c r="E110" t="s">
        <v>466</v>
      </c>
      <c r="G110" t="str">
        <f>VLOOKUP(Tabulka1[[#This Row],[paragraf]],paragrafy!A:C,3,0)</f>
        <v xml:space="preserve">3745 - Péče o vzhled obcí a veřejnou zeleň
</v>
      </c>
      <c r="H110" t="str">
        <f>VLOOKUP(Tabulka1[[#This Row],[položka]],položky!A:C,3,0)</f>
        <v xml:space="preserve">5163 - Služby peněžních ústavů
</v>
      </c>
      <c r="I110" t="str">
        <f>Tabulka1[[#This Row],[paragraf]]&amp;"  "&amp;Tabulka1[[#This Row],[položka+název.položky]]</f>
        <v xml:space="preserve">3745  5163 - Služby peněžních ústavů
</v>
      </c>
      <c r="J110" s="50">
        <f>IF(Tabulka1[[#This Row],[typ]]="02 - výdej",Tabulka1[[#This Row],[rozpočet]]*(-1),Tabulka1[[#This Row],[rozpočet]]*1)</f>
        <v>-23000</v>
      </c>
    </row>
    <row r="111" spans="1:10" hidden="1" x14ac:dyDescent="0.25">
      <c r="A111" t="s">
        <v>483</v>
      </c>
      <c r="B111">
        <v>3745</v>
      </c>
      <c r="C111">
        <v>5169</v>
      </c>
      <c r="D111" s="34">
        <v>50000</v>
      </c>
      <c r="E111" t="s">
        <v>471</v>
      </c>
      <c r="G111" t="str">
        <f>VLOOKUP(Tabulka1[[#This Row],[paragraf]],paragrafy!A:C,3,0)</f>
        <v xml:space="preserve">3745 - Péče o vzhled obcí a veřejnou zeleň
</v>
      </c>
      <c r="H111" t="str">
        <f>VLOOKUP(Tabulka1[[#This Row],[položka]],položky!A:C,3,0)</f>
        <v xml:space="preserve">5169 - Nákup ostatních služeb
</v>
      </c>
      <c r="I111" t="str">
        <f>Tabulka1[[#This Row],[paragraf]]&amp;"  "&amp;Tabulka1[[#This Row],[položka+název.položky]]</f>
        <v xml:space="preserve">3745  5169 - Nákup ostatních služeb
</v>
      </c>
      <c r="J111" s="50">
        <f>IF(Tabulka1[[#This Row],[typ]]="02 - výdej",Tabulka1[[#This Row],[rozpočet]]*(-1),Tabulka1[[#This Row],[rozpočet]]*1)</f>
        <v>-50000</v>
      </c>
    </row>
    <row r="112" spans="1:10" hidden="1" x14ac:dyDescent="0.25">
      <c r="A112" t="s">
        <v>483</v>
      </c>
      <c r="B112">
        <v>3745</v>
      </c>
      <c r="C112">
        <v>5329</v>
      </c>
      <c r="D112" s="34">
        <v>60000</v>
      </c>
      <c r="E112" t="s">
        <v>447</v>
      </c>
      <c r="G112" t="str">
        <f>VLOOKUP(Tabulka1[[#This Row],[paragraf]],paragrafy!A:C,3,0)</f>
        <v xml:space="preserve">3745 - Péče o vzhled obcí a veřejnou zeleň
</v>
      </c>
      <c r="H112" t="str">
        <f>VLOOKUP(Tabulka1[[#This Row],[položka]],položky!A:C,3,0)</f>
        <v xml:space="preserve">5329 - Ostatní neinv.transfery veř.rozp.územní úrovně
</v>
      </c>
      <c r="I112" t="str">
        <f>Tabulka1[[#This Row],[paragraf]]&amp;"  "&amp;Tabulka1[[#This Row],[položka+název.položky]]</f>
        <v xml:space="preserve">3745  5329 - Ostatní neinv.transfery veř.rozp.územní úrovně
</v>
      </c>
      <c r="J112" s="50">
        <f>IF(Tabulka1[[#This Row],[typ]]="02 - výdej",Tabulka1[[#This Row],[rozpočet]]*(-1),Tabulka1[[#This Row],[rozpočet]]*1)</f>
        <v>-60000</v>
      </c>
    </row>
    <row r="113" spans="1:10" hidden="1" x14ac:dyDescent="0.25">
      <c r="A113" t="s">
        <v>483</v>
      </c>
      <c r="B113">
        <v>5512</v>
      </c>
      <c r="C113">
        <v>5169</v>
      </c>
      <c r="D113" s="34">
        <v>3000</v>
      </c>
      <c r="E113" t="s">
        <v>320</v>
      </c>
      <c r="G113" s="50" t="str">
        <f>VLOOKUP(Tabulka1[[#This Row],[paragraf]],paragrafy!A:C,3,0)</f>
        <v xml:space="preserve">5512 - Požární ochrana - dobrovolná část
</v>
      </c>
      <c r="H113" s="50" t="str">
        <f>VLOOKUP(Tabulka1[[#This Row],[položka]],položky!A:C,3,0)</f>
        <v xml:space="preserve">5169 - Nákup ostatních služeb
</v>
      </c>
      <c r="I113" s="50" t="str">
        <f>Tabulka1[[#This Row],[paragraf]]&amp;"  "&amp;Tabulka1[[#This Row],[položka+název.položky]]</f>
        <v xml:space="preserve">5512  5169 - Nákup ostatních služeb
</v>
      </c>
      <c r="J113" s="50">
        <f>IF(Tabulka1[[#This Row],[typ]]="02 - výdej",Tabulka1[[#This Row],[rozpočet]]*(-1),Tabulka1[[#This Row],[rozpočet]]*1)</f>
        <v>-3000</v>
      </c>
    </row>
    <row r="114" spans="1:10" hidden="1" x14ac:dyDescent="0.25">
      <c r="A114" t="s">
        <v>483</v>
      </c>
      <c r="B114">
        <v>5512</v>
      </c>
      <c r="C114">
        <v>5171</v>
      </c>
      <c r="D114" s="34">
        <v>5000</v>
      </c>
      <c r="E114" t="s">
        <v>317</v>
      </c>
      <c r="G114" s="50" t="str">
        <f>VLOOKUP(Tabulka1[[#This Row],[paragraf]],paragrafy!A:C,3,0)</f>
        <v xml:space="preserve">5512 - Požární ochrana - dobrovolná část
</v>
      </c>
      <c r="H114" s="50" t="str">
        <f>VLOOKUP(Tabulka1[[#This Row],[položka]],položky!A:C,3,0)</f>
        <v xml:space="preserve">5171 - Opravy a udržování
</v>
      </c>
      <c r="I114" s="50" t="str">
        <f>Tabulka1[[#This Row],[paragraf]]&amp;"  "&amp;Tabulka1[[#This Row],[položka+název.položky]]</f>
        <v xml:space="preserve">5512  5171 - Opravy a udržování
</v>
      </c>
      <c r="J114" s="50">
        <f>IF(Tabulka1[[#This Row],[typ]]="02 - výdej",Tabulka1[[#This Row],[rozpočet]]*(-1),Tabulka1[[#This Row],[rozpočet]]*1)</f>
        <v>-5000</v>
      </c>
    </row>
    <row r="115" spans="1:10" hidden="1" x14ac:dyDescent="0.25">
      <c r="A115" t="s">
        <v>483</v>
      </c>
      <c r="B115">
        <v>5512</v>
      </c>
      <c r="C115">
        <v>5156</v>
      </c>
      <c r="D115" s="34">
        <v>3000</v>
      </c>
      <c r="E115" t="s">
        <v>321</v>
      </c>
      <c r="G115" s="50" t="str">
        <f>VLOOKUP(Tabulka1[[#This Row],[paragraf]],paragrafy!A:C,3,0)</f>
        <v xml:space="preserve">5512 - Požární ochrana - dobrovolná část
</v>
      </c>
      <c r="H115" s="50" t="str">
        <f>VLOOKUP(Tabulka1[[#This Row],[položka]],položky!A:C,3,0)</f>
        <v xml:space="preserve">5156 - Pohonné hmoty a maziva
</v>
      </c>
      <c r="I115" s="50" t="str">
        <f>Tabulka1[[#This Row],[paragraf]]&amp;"  "&amp;Tabulka1[[#This Row],[položka+název.položky]]</f>
        <v xml:space="preserve">5512  5156 - Pohonné hmoty a maziva
</v>
      </c>
      <c r="J115" s="50">
        <f>IF(Tabulka1[[#This Row],[typ]]="02 - výdej",Tabulka1[[#This Row],[rozpočet]]*(-1),Tabulka1[[#This Row],[rozpočet]]*1)</f>
        <v>-3000</v>
      </c>
    </row>
    <row r="116" spans="1:10" hidden="1" x14ac:dyDescent="0.25">
      <c r="A116" t="s">
        <v>483</v>
      </c>
      <c r="B116">
        <v>3631</v>
      </c>
      <c r="C116">
        <v>5154</v>
      </c>
      <c r="D116" s="34">
        <f>F116*12*1.01</f>
        <v>163620</v>
      </c>
      <c r="E116" t="s">
        <v>73</v>
      </c>
      <c r="F116" s="34">
        <f>3*4500</f>
        <v>13500</v>
      </c>
      <c r="G116" t="str">
        <f>VLOOKUP(Tabulka1[[#This Row],[paragraf]],paragrafy!A:C,3,0)</f>
        <v xml:space="preserve">3631 - Veřejné osvětlení
</v>
      </c>
      <c r="H116" t="str">
        <f>VLOOKUP(Tabulka1[[#This Row],[položka]],položky!A:C,3,0)</f>
        <v xml:space="preserve">5154 - Elektrická energie
</v>
      </c>
      <c r="I116" t="str">
        <f>Tabulka1[[#This Row],[paragraf]]&amp;"  "&amp;Tabulka1[[#This Row],[položka+název.položky]]</f>
        <v xml:space="preserve">3631  5154 - Elektrická energie
</v>
      </c>
      <c r="J116">
        <f>IF(Tabulka1[[#This Row],[typ]]="02 - výdej",Tabulka1[[#This Row],[rozpočet]]*(-1),Tabulka1[[#This Row],[rozpočet]]*1)</f>
        <v>-163620</v>
      </c>
    </row>
    <row r="117" spans="1:10" hidden="1" x14ac:dyDescent="0.25">
      <c r="A117" t="s">
        <v>483</v>
      </c>
      <c r="B117">
        <v>5512</v>
      </c>
      <c r="C117">
        <v>5167</v>
      </c>
      <c r="D117" s="34">
        <v>5000</v>
      </c>
      <c r="E117" t="s">
        <v>319</v>
      </c>
      <c r="G117" s="50" t="str">
        <f>VLOOKUP(Tabulka1[[#This Row],[paragraf]],paragrafy!A:C,3,0)</f>
        <v xml:space="preserve">5512 - Požární ochrana - dobrovolná část
</v>
      </c>
      <c r="H117" s="50" t="str">
        <f>VLOOKUP(Tabulka1[[#This Row],[položka]],položky!A:C,3,0)</f>
        <v xml:space="preserve">5167 - Služby školení a vzdělávání
</v>
      </c>
      <c r="I117" s="50" t="str">
        <f>Tabulka1[[#This Row],[paragraf]]&amp;"  "&amp;Tabulka1[[#This Row],[položka+název.položky]]</f>
        <v xml:space="preserve">5512  5167 - Služby školení a vzdělávání
</v>
      </c>
      <c r="J117" s="50">
        <f>IF(Tabulka1[[#This Row],[typ]]="02 - výdej",Tabulka1[[#This Row],[rozpočet]]*(-1),Tabulka1[[#This Row],[rozpočet]]*1)</f>
        <v>-5000</v>
      </c>
    </row>
    <row r="118" spans="1:10" hidden="1" x14ac:dyDescent="0.25">
      <c r="A118" t="s">
        <v>483</v>
      </c>
      <c r="B118">
        <v>5512</v>
      </c>
      <c r="C118">
        <v>5169</v>
      </c>
      <c r="D118" s="34">
        <v>3000</v>
      </c>
      <c r="E118" t="s">
        <v>318</v>
      </c>
      <c r="G118" s="50" t="str">
        <f>VLOOKUP(Tabulka1[[#This Row],[paragraf]],paragrafy!A:C,3,0)</f>
        <v xml:space="preserve">5512 - Požární ochrana - dobrovolná část
</v>
      </c>
      <c r="H118" s="50" t="str">
        <f>VLOOKUP(Tabulka1[[#This Row],[položka]],položky!A:C,3,0)</f>
        <v xml:space="preserve">5169 - Nákup ostatních služeb
</v>
      </c>
      <c r="I118" s="50" t="str">
        <f>Tabulka1[[#This Row],[paragraf]]&amp;"  "&amp;Tabulka1[[#This Row],[položka+název.položky]]</f>
        <v xml:space="preserve">5512  5169 - Nákup ostatních služeb
</v>
      </c>
      <c r="J118" s="50">
        <f>IF(Tabulka1[[#This Row],[typ]]="02 - výdej",Tabulka1[[#This Row],[rozpočet]]*(-1),Tabulka1[[#This Row],[rozpočet]]*1)</f>
        <v>-3000</v>
      </c>
    </row>
    <row r="119" spans="1:10" hidden="1" x14ac:dyDescent="0.25">
      <c r="A119" t="s">
        <v>483</v>
      </c>
      <c r="B119">
        <v>5512</v>
      </c>
      <c r="C119">
        <v>5171</v>
      </c>
      <c r="D119" s="34">
        <v>4000</v>
      </c>
      <c r="E119" t="s">
        <v>323</v>
      </c>
      <c r="G119" s="50" t="str">
        <f>VLOOKUP(Tabulka1[[#This Row],[paragraf]],paragrafy!A:C,3,0)</f>
        <v xml:space="preserve">5512 - Požární ochrana - dobrovolná část
</v>
      </c>
      <c r="H119" s="50" t="str">
        <f>VLOOKUP(Tabulka1[[#This Row],[položka]],položky!A:C,3,0)</f>
        <v xml:space="preserve">5171 - Opravy a udržování
</v>
      </c>
      <c r="I119" s="50" t="str">
        <f>Tabulka1[[#This Row],[paragraf]]&amp;"  "&amp;Tabulka1[[#This Row],[položka+název.položky]]</f>
        <v xml:space="preserve">5512  5171 - Opravy a udržování
</v>
      </c>
      <c r="J119" s="50">
        <f>IF(Tabulka1[[#This Row],[typ]]="02 - výdej",Tabulka1[[#This Row],[rozpočet]]*(-1),Tabulka1[[#This Row],[rozpočet]]*1)</f>
        <v>-4000</v>
      </c>
    </row>
    <row r="120" spans="1:10" hidden="1" x14ac:dyDescent="0.25">
      <c r="A120" t="s">
        <v>483</v>
      </c>
      <c r="B120">
        <v>5512</v>
      </c>
      <c r="C120">
        <v>5156</v>
      </c>
      <c r="D120" s="34">
        <v>3000</v>
      </c>
      <c r="E120" t="s">
        <v>322</v>
      </c>
      <c r="G120" s="50" t="str">
        <f>VLOOKUP(Tabulka1[[#This Row],[paragraf]],paragrafy!A:C,3,0)</f>
        <v xml:space="preserve">5512 - Požární ochrana - dobrovolná část
</v>
      </c>
      <c r="H120" s="50" t="str">
        <f>VLOOKUP(Tabulka1[[#This Row],[položka]],položky!A:C,3,0)</f>
        <v xml:space="preserve">5156 - Pohonné hmoty a maziva
</v>
      </c>
      <c r="I120" s="50" t="str">
        <f>Tabulka1[[#This Row],[paragraf]]&amp;"  "&amp;Tabulka1[[#This Row],[položka+název.položky]]</f>
        <v xml:space="preserve">5512  5156 - Pohonné hmoty a maziva
</v>
      </c>
      <c r="J120" s="50">
        <f>IF(Tabulka1[[#This Row],[typ]]="02 - výdej",Tabulka1[[#This Row],[rozpočet]]*(-1),Tabulka1[[#This Row],[rozpočet]]*1)</f>
        <v>-3000</v>
      </c>
    </row>
    <row r="121" spans="1:10" hidden="1" x14ac:dyDescent="0.25">
      <c r="A121" t="s">
        <v>483</v>
      </c>
      <c r="B121">
        <v>5512</v>
      </c>
      <c r="C121">
        <v>5139</v>
      </c>
      <c r="D121" s="34">
        <v>7000</v>
      </c>
      <c r="E121" t="s">
        <v>504</v>
      </c>
      <c r="G121" s="50" t="str">
        <f>VLOOKUP(Tabulka1[[#This Row],[paragraf]],paragrafy!A:C,3,0)</f>
        <v xml:space="preserve">5512 - Požární ochrana - dobrovolná část
</v>
      </c>
      <c r="H121" s="50" t="str">
        <f>VLOOKUP(Tabulka1[[#This Row],[položka]],položky!A:C,3,0)</f>
        <v xml:space="preserve">5139 - Nákup materiálu j.n.
</v>
      </c>
      <c r="I121" s="50" t="str">
        <f>Tabulka1[[#This Row],[paragraf]]&amp;"  "&amp;Tabulka1[[#This Row],[položka+název.položky]]</f>
        <v xml:space="preserve">5512  5139 - Nákup materiálu j.n.
</v>
      </c>
      <c r="J121" s="50">
        <f>IF(Tabulka1[[#This Row],[typ]]="02 - výdej",Tabulka1[[#This Row],[rozpočet]]*(-1),Tabulka1[[#This Row],[rozpočet]]*1)</f>
        <v>-7000</v>
      </c>
    </row>
    <row r="122" spans="1:10" hidden="1" x14ac:dyDescent="0.25">
      <c r="A122" t="s">
        <v>483</v>
      </c>
      <c r="B122">
        <v>5512</v>
      </c>
      <c r="C122">
        <v>5171</v>
      </c>
      <c r="D122" s="34">
        <v>3000</v>
      </c>
      <c r="E122" t="s">
        <v>325</v>
      </c>
      <c r="G122" s="50" t="str">
        <f>VLOOKUP(Tabulka1[[#This Row],[paragraf]],paragrafy!A:C,3,0)</f>
        <v xml:space="preserve">5512 - Požární ochrana - dobrovolná část
</v>
      </c>
      <c r="H122" s="50" t="str">
        <f>VLOOKUP(Tabulka1[[#This Row],[položka]],položky!A:C,3,0)</f>
        <v xml:space="preserve">5171 - Opravy a udržování
</v>
      </c>
      <c r="I122" s="50" t="str">
        <f>Tabulka1[[#This Row],[paragraf]]&amp;"  "&amp;Tabulka1[[#This Row],[položka+název.položky]]</f>
        <v xml:space="preserve">5512  5171 - Opravy a udržování
</v>
      </c>
      <c r="J122" s="50">
        <f>IF(Tabulka1[[#This Row],[typ]]="02 - výdej",Tabulka1[[#This Row],[rozpočet]]*(-1),Tabulka1[[#This Row],[rozpočet]]*1)</f>
        <v>-3000</v>
      </c>
    </row>
    <row r="123" spans="1:10" hidden="1" x14ac:dyDescent="0.25">
      <c r="A123" t="s">
        <v>483</v>
      </c>
      <c r="B123">
        <v>5512</v>
      </c>
      <c r="C123">
        <v>5156</v>
      </c>
      <c r="D123" s="34">
        <v>3000</v>
      </c>
      <c r="E123" t="s">
        <v>324</v>
      </c>
      <c r="G123" s="50" t="str">
        <f>VLOOKUP(Tabulka1[[#This Row],[paragraf]],paragrafy!A:C,3,0)</f>
        <v xml:space="preserve">5512 - Požární ochrana - dobrovolná část
</v>
      </c>
      <c r="H123" s="50" t="str">
        <f>VLOOKUP(Tabulka1[[#This Row],[položka]],položky!A:C,3,0)</f>
        <v xml:space="preserve">5156 - Pohonné hmoty a maziva
</v>
      </c>
      <c r="I123" s="50" t="str">
        <f>Tabulka1[[#This Row],[paragraf]]&amp;"  "&amp;Tabulka1[[#This Row],[položka+název.položky]]</f>
        <v xml:space="preserve">5512  5156 - Pohonné hmoty a maziva
</v>
      </c>
      <c r="J123" s="50">
        <f>IF(Tabulka1[[#This Row],[typ]]="02 - výdej",Tabulka1[[#This Row],[rozpočet]]*(-1),Tabulka1[[#This Row],[rozpočet]]*1)</f>
        <v>-3000</v>
      </c>
    </row>
    <row r="124" spans="1:10" hidden="1" x14ac:dyDescent="0.25">
      <c r="A124" t="s">
        <v>483</v>
      </c>
      <c r="B124">
        <v>5512</v>
      </c>
      <c r="C124">
        <v>5153</v>
      </c>
      <c r="D124" s="34">
        <f>F124*12</f>
        <v>36000</v>
      </c>
      <c r="E124" t="s">
        <v>95</v>
      </c>
      <c r="F124" s="34">
        <v>3000</v>
      </c>
      <c r="G124" t="str">
        <f>VLOOKUP(Tabulka1[[#This Row],[paragraf]],paragrafy!A:C,3,0)</f>
        <v xml:space="preserve">5512 - Požární ochrana - dobrovolná část
</v>
      </c>
      <c r="H124" t="str">
        <f>VLOOKUP(Tabulka1[[#This Row],[položka]],položky!A:C,3,0)</f>
        <v xml:space="preserve">5153 - Plyn
</v>
      </c>
      <c r="I124" t="str">
        <f>Tabulka1[[#This Row],[paragraf]]&amp;"  "&amp;Tabulka1[[#This Row],[položka+název.položky]]</f>
        <v xml:space="preserve">5512  5153 - Plyn
</v>
      </c>
      <c r="J124">
        <f>IF(Tabulka1[[#This Row],[typ]]="02 - výdej",Tabulka1[[#This Row],[rozpočet]]*(-1),Tabulka1[[#This Row],[rozpočet]]*1)</f>
        <v>-36000</v>
      </c>
    </row>
    <row r="125" spans="1:10" hidden="1" x14ac:dyDescent="0.25">
      <c r="A125" t="s">
        <v>483</v>
      </c>
      <c r="B125">
        <v>5512</v>
      </c>
      <c r="C125">
        <v>5151</v>
      </c>
      <c r="D125" s="34">
        <f>F125*4</f>
        <v>2480</v>
      </c>
      <c r="E125" t="s">
        <v>96</v>
      </c>
      <c r="F125" s="34">
        <f>2*310</f>
        <v>620</v>
      </c>
      <c r="G125" t="str">
        <f>VLOOKUP(Tabulka1[[#This Row],[paragraf]],paragrafy!A:C,3,0)</f>
        <v xml:space="preserve">5512 - Požární ochrana - dobrovolná část
</v>
      </c>
      <c r="H125" t="str">
        <f>VLOOKUP(Tabulka1[[#This Row],[položka]],položky!A:C,3,0)</f>
        <v xml:space="preserve">5151 - Studená voda
</v>
      </c>
      <c r="I125" t="str">
        <f>Tabulka1[[#This Row],[paragraf]]&amp;"  "&amp;Tabulka1[[#This Row],[položka+název.položky]]</f>
        <v xml:space="preserve">5512  5151 - Studená voda
</v>
      </c>
      <c r="J125">
        <f>IF(Tabulka1[[#This Row],[typ]]="02 - výdej",Tabulka1[[#This Row],[rozpočet]]*(-1),Tabulka1[[#This Row],[rozpočet]]*1)</f>
        <v>-2480</v>
      </c>
    </row>
    <row r="126" spans="1:10" hidden="1" x14ac:dyDescent="0.25">
      <c r="A126" t="s">
        <v>483</v>
      </c>
      <c r="B126">
        <v>5512</v>
      </c>
      <c r="C126">
        <v>5154</v>
      </c>
      <c r="D126" s="34">
        <f>F126*12</f>
        <v>35280</v>
      </c>
      <c r="E126" t="s">
        <v>82</v>
      </c>
      <c r="F126" s="34">
        <f>3*980</f>
        <v>2940</v>
      </c>
      <c r="G126" t="str">
        <f>VLOOKUP(Tabulka1[[#This Row],[paragraf]],paragrafy!A:C,3,0)</f>
        <v xml:space="preserve">5512 - Požární ochrana - dobrovolná část
</v>
      </c>
      <c r="H126" t="str">
        <f>VLOOKUP(Tabulka1[[#This Row],[položka]],položky!A:C,3,0)</f>
        <v xml:space="preserve">5154 - Elektrická energie
</v>
      </c>
      <c r="I126" t="str">
        <f>Tabulka1[[#This Row],[paragraf]]&amp;"  "&amp;Tabulka1[[#This Row],[položka+název.položky]]</f>
        <v xml:space="preserve">5512  5154 - Elektrická energie
</v>
      </c>
      <c r="J126">
        <f>IF(Tabulka1[[#This Row],[typ]]="02 - výdej",Tabulka1[[#This Row],[rozpočet]]*(-1),Tabulka1[[#This Row],[rozpočet]]*1)</f>
        <v>-35280</v>
      </c>
    </row>
    <row r="127" spans="1:10" hidden="1" x14ac:dyDescent="0.25">
      <c r="A127" t="s">
        <v>483</v>
      </c>
      <c r="B127">
        <v>6112</v>
      </c>
      <c r="C127">
        <v>5023</v>
      </c>
      <c r="D127" s="34">
        <v>24000</v>
      </c>
      <c r="E127" t="s">
        <v>435</v>
      </c>
      <c r="G127" s="50" t="str">
        <f>VLOOKUP(Tabulka1[[#This Row],[paragraf]],paragrafy!A:C,3,0)</f>
        <v xml:space="preserve">6112 - Zastupitelstva obcí
</v>
      </c>
      <c r="H127" s="50" t="str">
        <f>VLOOKUP(Tabulka1[[#This Row],[položka]],položky!A:C,3,0)</f>
        <v xml:space="preserve">5023 - Odměny členů zastupitelstva obcí a krajů
</v>
      </c>
      <c r="I127" s="50" t="str">
        <f>Tabulka1[[#This Row],[paragraf]]&amp;"  "&amp;Tabulka1[[#This Row],[položka+název.položky]]</f>
        <v xml:space="preserve">6112  5023 - Odměny členů zastupitelstva obcí a krajů
</v>
      </c>
      <c r="J127" s="50">
        <f>IF(Tabulka1[[#This Row],[typ]]="02 - výdej",Tabulka1[[#This Row],[rozpočet]]*(-1),Tabulka1[[#This Row],[rozpočet]]*1)</f>
        <v>-24000</v>
      </c>
    </row>
    <row r="128" spans="1:10" hidden="1" x14ac:dyDescent="0.25">
      <c r="A128" t="s">
        <v>483</v>
      </c>
      <c r="B128">
        <v>6112</v>
      </c>
      <c r="C128">
        <v>5023</v>
      </c>
      <c r="D128" s="34">
        <v>863500</v>
      </c>
      <c r="E128" t="s">
        <v>91</v>
      </c>
      <c r="F128" s="34">
        <v>71951</v>
      </c>
      <c r="G128" t="str">
        <f>VLOOKUP(Tabulka1[[#This Row],[paragraf]],paragrafy!A:C,3,0)</f>
        <v xml:space="preserve">6112 - Zastupitelstva obcí
</v>
      </c>
      <c r="H128" t="str">
        <f>VLOOKUP(Tabulka1[[#This Row],[položka]],položky!A:C,3,0)</f>
        <v xml:space="preserve">5023 - Odměny členů zastupitelstva obcí a krajů
</v>
      </c>
      <c r="I128" t="str">
        <f>Tabulka1[[#This Row],[paragraf]]&amp;"  "&amp;Tabulka1[[#This Row],[položka+název.položky]]</f>
        <v xml:space="preserve">6112  5023 - Odměny členů zastupitelstva obcí a krajů
</v>
      </c>
      <c r="J128">
        <f>IF(Tabulka1[[#This Row],[typ]]="02 - výdej",Tabulka1[[#This Row],[rozpočet]]*(-1),Tabulka1[[#This Row],[rozpočet]]*1)</f>
        <v>-863500</v>
      </c>
    </row>
    <row r="129" spans="1:10" hidden="1" x14ac:dyDescent="0.25">
      <c r="A129" t="s">
        <v>483</v>
      </c>
      <c r="B129">
        <v>6112</v>
      </c>
      <c r="C129">
        <v>5032</v>
      </c>
      <c r="D129" s="34">
        <v>77800</v>
      </c>
      <c r="E129" t="s">
        <v>92</v>
      </c>
      <c r="F129" s="34">
        <f>71951*0.09</f>
        <v>6475.59</v>
      </c>
      <c r="G129" t="str">
        <f>VLOOKUP(Tabulka1[[#This Row],[paragraf]],paragrafy!A:C,3,0)</f>
        <v xml:space="preserve">6112 - Zastupitelstva obcí
</v>
      </c>
      <c r="H129" t="str">
        <f>VLOOKUP(Tabulka1[[#This Row],[položka]],položky!A:C,3,0)</f>
        <v xml:space="preserve">5032 - Povinné poj.na veřejné zdravotní pojištění
</v>
      </c>
      <c r="I129" t="str">
        <f>Tabulka1[[#This Row],[paragraf]]&amp;"  "&amp;Tabulka1[[#This Row],[položka+název.položky]]</f>
        <v xml:space="preserve">6112  5032 - Povinné poj.na veřejné zdravotní pojištění
</v>
      </c>
      <c r="J129">
        <f>IF(Tabulka1[[#This Row],[typ]]="02 - výdej",Tabulka1[[#This Row],[rozpočet]]*(-1),Tabulka1[[#This Row],[rozpočet]]*1)</f>
        <v>-77800</v>
      </c>
    </row>
    <row r="130" spans="1:10" hidden="1" x14ac:dyDescent="0.25">
      <c r="A130" t="s">
        <v>483</v>
      </c>
      <c r="B130">
        <v>6171</v>
      </c>
      <c r="C130">
        <v>5011</v>
      </c>
      <c r="D130" s="34">
        <f>Tabulka1[[#This Row],[pomocné]]*13</f>
        <v>390000</v>
      </c>
      <c r="E130" t="s">
        <v>122</v>
      </c>
      <c r="F130" s="34">
        <f>30000</f>
        <v>30000</v>
      </c>
      <c r="G130" t="str">
        <f>VLOOKUP(Tabulka1[[#This Row],[paragraf]],paragrafy!A:C,3,0)</f>
        <v xml:space="preserve">6171 - Činnost místní správy
</v>
      </c>
      <c r="H130" t="str">
        <f>VLOOKUP(Tabulka1[[#This Row],[položka]],položky!A:C,3,0)</f>
        <v xml:space="preserve">5011 - Platy zaměst. v pr.poměru vyjma zaměst. na služ.m.
</v>
      </c>
      <c r="I130" t="str">
        <f>Tabulka1[[#This Row],[paragraf]]&amp;"  "&amp;Tabulka1[[#This Row],[položka+název.položky]]</f>
        <v xml:space="preserve">6171  5011 - Platy zaměst. v pr.poměru vyjma zaměst. na služ.m.
</v>
      </c>
      <c r="J130" s="50">
        <f>IF(Tabulka1[[#This Row],[typ]]="02 - výdej",Tabulka1[[#This Row],[rozpočet]]*(-1),Tabulka1[[#This Row],[rozpočet]]*1)</f>
        <v>-390000</v>
      </c>
    </row>
    <row r="131" spans="1:10" hidden="1" x14ac:dyDescent="0.25">
      <c r="A131" t="s">
        <v>483</v>
      </c>
      <c r="B131">
        <v>6171</v>
      </c>
      <c r="C131">
        <v>5021</v>
      </c>
      <c r="D131" s="34">
        <f>1100*12</f>
        <v>13200</v>
      </c>
      <c r="E131" t="s">
        <v>436</v>
      </c>
      <c r="F131" s="34">
        <v>1100</v>
      </c>
      <c r="G131" t="str">
        <f>VLOOKUP(Tabulka1[[#This Row],[paragraf]],paragrafy!A:C,3,0)</f>
        <v xml:space="preserve">6171 - Činnost místní správy
</v>
      </c>
      <c r="H131" t="str">
        <f>VLOOKUP(Tabulka1[[#This Row],[položka]],položky!A:C,3,0)</f>
        <v xml:space="preserve">5021 - Ostatní osobní výdaje
</v>
      </c>
      <c r="I131" t="str">
        <f>Tabulka1[[#This Row],[paragraf]]&amp;"  "&amp;Tabulka1[[#This Row],[položka+název.položky]]</f>
        <v xml:space="preserve">6171  5021 - Ostatní osobní výdaje
</v>
      </c>
      <c r="J131" s="50">
        <f>IF(Tabulka1[[#This Row],[typ]]="02 - výdej",Tabulka1[[#This Row],[rozpočet]]*(-1),Tabulka1[[#This Row],[rozpočet]]*1)</f>
        <v>-13200</v>
      </c>
    </row>
    <row r="132" spans="1:10" hidden="1" x14ac:dyDescent="0.25">
      <c r="A132" t="s">
        <v>483</v>
      </c>
      <c r="B132">
        <v>6171</v>
      </c>
      <c r="C132">
        <v>5021</v>
      </c>
      <c r="D132" s="34">
        <f>Tabulka1[[#This Row],[pomocné]]*12</f>
        <v>45000</v>
      </c>
      <c r="E132" t="s">
        <v>459</v>
      </c>
      <c r="F132" s="34">
        <f>25*150</f>
        <v>3750</v>
      </c>
      <c r="G132" t="str">
        <f>VLOOKUP(Tabulka1[[#This Row],[paragraf]],paragrafy!A:C,3,0)</f>
        <v xml:space="preserve">6171 - Činnost místní správy
</v>
      </c>
      <c r="H132" t="str">
        <f>VLOOKUP(Tabulka1[[#This Row],[položka]],položky!A:C,3,0)</f>
        <v xml:space="preserve">5021 - Ostatní osobní výdaje
</v>
      </c>
      <c r="I132" t="str">
        <f>Tabulka1[[#This Row],[paragraf]]&amp;"  "&amp;Tabulka1[[#This Row],[položka+název.položky]]</f>
        <v xml:space="preserve">6171  5021 - Ostatní osobní výdaje
</v>
      </c>
      <c r="J132" s="50">
        <f>IF(Tabulka1[[#This Row],[typ]]="02 - výdej",Tabulka1[[#This Row],[rozpočet]]*(-1),Tabulka1[[#This Row],[rozpočet]]*1)</f>
        <v>-45000</v>
      </c>
    </row>
    <row r="133" spans="1:10" hidden="1" x14ac:dyDescent="0.25">
      <c r="A133" t="s">
        <v>483</v>
      </c>
      <c r="B133">
        <v>6171</v>
      </c>
      <c r="C133">
        <v>5031</v>
      </c>
      <c r="D133" s="34">
        <f>Tabulka1[[#This Row],[pomocné]]*13</f>
        <v>96720</v>
      </c>
      <c r="E133" t="s">
        <v>123</v>
      </c>
      <c r="F133" s="34">
        <f>30000*0.248</f>
        <v>7440</v>
      </c>
      <c r="G133" t="str">
        <f>VLOOKUP(Tabulka1[[#This Row],[paragraf]],paragrafy!A:C,3,0)</f>
        <v xml:space="preserve">6171 - Činnost místní správy
</v>
      </c>
      <c r="H133" t="str">
        <f>VLOOKUP(Tabulka1[[#This Row],[položka]],položky!A:C,3,0)</f>
        <v xml:space="preserve">5031 - Povinné poj.na soc.zab.a přísp.na st.pol.zaměstnan
</v>
      </c>
      <c r="I133" t="str">
        <f>Tabulka1[[#This Row],[paragraf]]&amp;"  "&amp;Tabulka1[[#This Row],[položka+název.položky]]</f>
        <v xml:space="preserve">6171  5031 - Povinné poj.na soc.zab.a přísp.na st.pol.zaměstnan
</v>
      </c>
      <c r="J133" s="50">
        <f>IF(Tabulka1[[#This Row],[typ]]="02 - výdej",Tabulka1[[#This Row],[rozpočet]]*(-1),Tabulka1[[#This Row],[rozpočet]]*1)</f>
        <v>-96720</v>
      </c>
    </row>
    <row r="134" spans="1:10" hidden="1" x14ac:dyDescent="0.25">
      <c r="A134" t="s">
        <v>483</v>
      </c>
      <c r="B134">
        <v>6171</v>
      </c>
      <c r="C134">
        <v>5032</v>
      </c>
      <c r="D134" s="34">
        <f>Tabulka1[[#This Row],[pomocné]]*13</f>
        <v>35100</v>
      </c>
      <c r="E134" t="s">
        <v>445</v>
      </c>
      <c r="F134" s="34">
        <f>30000*0.09</f>
        <v>2700</v>
      </c>
      <c r="G134" t="str">
        <f>VLOOKUP(Tabulka1[[#This Row],[paragraf]],paragrafy!A:C,3,0)</f>
        <v xml:space="preserve">6171 - Činnost místní správy
</v>
      </c>
      <c r="H134" t="str">
        <f>VLOOKUP(Tabulka1[[#This Row],[položka]],položky!A:C,3,0)</f>
        <v xml:space="preserve">5032 - Povinné poj.na veřejné zdravotní pojištění
</v>
      </c>
      <c r="I134" t="str">
        <f>Tabulka1[[#This Row],[paragraf]]&amp;"  "&amp;Tabulka1[[#This Row],[položka+název.položky]]</f>
        <v xml:space="preserve">6171  5032 - Povinné poj.na veřejné zdravotní pojištění
</v>
      </c>
      <c r="J134" s="50">
        <f>IF(Tabulka1[[#This Row],[typ]]="02 - výdej",Tabulka1[[#This Row],[rozpočet]]*(-1),Tabulka1[[#This Row],[rozpočet]]*1)</f>
        <v>-35100</v>
      </c>
    </row>
    <row r="135" spans="1:10" hidden="1" x14ac:dyDescent="0.25">
      <c r="A135" t="s">
        <v>483</v>
      </c>
      <c r="B135">
        <v>6171</v>
      </c>
      <c r="C135">
        <v>5038</v>
      </c>
      <c r="D135" s="34">
        <v>3000</v>
      </c>
      <c r="E135" t="s">
        <v>447</v>
      </c>
      <c r="G135" t="str">
        <f>VLOOKUP(Tabulka1[[#This Row],[paragraf]],paragrafy!A:C,3,0)</f>
        <v xml:space="preserve">6171 - Činnost místní správy
</v>
      </c>
      <c r="H135" t="str">
        <f>VLOOKUP(Tabulka1[[#This Row],[položka]],položky!A:C,3,0)</f>
        <v xml:space="preserve">5038 - Povinné pojistné na úrazové pojištění
</v>
      </c>
      <c r="I135" t="str">
        <f>Tabulka1[[#This Row],[paragraf]]&amp;"  "&amp;Tabulka1[[#This Row],[položka+název.položky]]</f>
        <v xml:space="preserve">6171  5038 - Povinné pojistné na úrazové pojištění
</v>
      </c>
      <c r="J135" s="50">
        <f>IF(Tabulka1[[#This Row],[typ]]="02 - výdej",Tabulka1[[#This Row],[rozpočet]]*(-1),Tabulka1[[#This Row],[rozpočet]]*1)</f>
        <v>-3000</v>
      </c>
    </row>
    <row r="136" spans="1:10" hidden="1" x14ac:dyDescent="0.25">
      <c r="A136" t="s">
        <v>483</v>
      </c>
      <c r="B136">
        <v>6171</v>
      </c>
      <c r="C136">
        <v>5134</v>
      </c>
      <c r="D136" s="34">
        <v>6000</v>
      </c>
      <c r="E136" t="s">
        <v>469</v>
      </c>
      <c r="G136" t="str">
        <f>VLOOKUP(Tabulka1[[#This Row],[paragraf]],paragrafy!A:C,3,0)</f>
        <v xml:space="preserve">6171 - Činnost místní správy
</v>
      </c>
      <c r="H136" t="str">
        <f>VLOOKUP(Tabulka1[[#This Row],[položka]],položky!A:C,3,0)</f>
        <v xml:space="preserve">5134 - Prádlo, oděv a obuv
</v>
      </c>
      <c r="I136" t="str">
        <f>Tabulka1[[#This Row],[paragraf]]&amp;"  "&amp;Tabulka1[[#This Row],[položka+název.položky]]</f>
        <v xml:space="preserve">6171  5134 - Prádlo, oděv a obuv
</v>
      </c>
      <c r="J136" s="50">
        <f>IF(Tabulka1[[#This Row],[typ]]="02 - výdej",Tabulka1[[#This Row],[rozpočet]]*(-1),Tabulka1[[#This Row],[rozpočet]]*1)</f>
        <v>-6000</v>
      </c>
    </row>
    <row r="137" spans="1:10" hidden="1" x14ac:dyDescent="0.25">
      <c r="A137" t="s">
        <v>483</v>
      </c>
      <c r="B137">
        <v>6171</v>
      </c>
      <c r="C137">
        <v>5136</v>
      </c>
      <c r="D137" s="34">
        <v>2000</v>
      </c>
      <c r="E137" t="s">
        <v>447</v>
      </c>
      <c r="G137" t="str">
        <f>VLOOKUP(Tabulka1[[#This Row],[paragraf]],paragrafy!A:C,3,0)</f>
        <v xml:space="preserve">6171 - Činnost místní správy
</v>
      </c>
      <c r="H137" t="str">
        <f>VLOOKUP(Tabulka1[[#This Row],[položka]],položky!A:C,3,0)</f>
        <v xml:space="preserve">5136 - Knihy, učební pomůcky a tisk
</v>
      </c>
      <c r="I137" t="str">
        <f>Tabulka1[[#This Row],[paragraf]]&amp;"  "&amp;Tabulka1[[#This Row],[položka+název.položky]]</f>
        <v xml:space="preserve">6171  5136 - Knihy, učební pomůcky a tisk
</v>
      </c>
      <c r="J137" s="50">
        <f>IF(Tabulka1[[#This Row],[typ]]="02 - výdej",Tabulka1[[#This Row],[rozpočet]]*(-1),Tabulka1[[#This Row],[rozpočet]]*1)</f>
        <v>-2000</v>
      </c>
    </row>
    <row r="138" spans="1:10" hidden="1" x14ac:dyDescent="0.25">
      <c r="A138" t="s">
        <v>483</v>
      </c>
      <c r="B138">
        <v>6171</v>
      </c>
      <c r="C138">
        <v>5137</v>
      </c>
      <c r="D138" s="34">
        <v>5000</v>
      </c>
      <c r="E138" t="s">
        <v>447</v>
      </c>
      <c r="G138" t="str">
        <f>VLOOKUP(Tabulka1[[#This Row],[paragraf]],paragrafy!A:C,3,0)</f>
        <v xml:space="preserve">6171 - Činnost místní správy
</v>
      </c>
      <c r="H138" t="str">
        <f>VLOOKUP(Tabulka1[[#This Row],[položka]],položky!A:C,3,0)</f>
        <v xml:space="preserve">5137 - Drobný dlouhodobý hmotný majetek
</v>
      </c>
      <c r="I138" t="str">
        <f>Tabulka1[[#This Row],[paragraf]]&amp;"  "&amp;Tabulka1[[#This Row],[položka+název.položky]]</f>
        <v xml:space="preserve">6171  5137 - Drobný dlouhodobý hmotný majetek
</v>
      </c>
      <c r="J138" s="50">
        <f>IF(Tabulka1[[#This Row],[typ]]="02 - výdej",Tabulka1[[#This Row],[rozpočet]]*(-1),Tabulka1[[#This Row],[rozpočet]]*1)</f>
        <v>-5000</v>
      </c>
    </row>
    <row r="139" spans="1:10" hidden="1" x14ac:dyDescent="0.25">
      <c r="A139" t="s">
        <v>483</v>
      </c>
      <c r="B139">
        <v>6171</v>
      </c>
      <c r="C139">
        <v>5139</v>
      </c>
      <c r="D139" s="34">
        <v>25000</v>
      </c>
      <c r="E139" t="s">
        <v>447</v>
      </c>
      <c r="G139" t="str">
        <f>VLOOKUP(Tabulka1[[#This Row],[paragraf]],paragrafy!A:C,3,0)</f>
        <v xml:space="preserve">6171 - Činnost místní správy
</v>
      </c>
      <c r="H139" t="str">
        <f>VLOOKUP(Tabulka1[[#This Row],[položka]],položky!A:C,3,0)</f>
        <v xml:space="preserve">5139 - Nákup materiálu j.n.
</v>
      </c>
      <c r="I139" t="str">
        <f>Tabulka1[[#This Row],[paragraf]]&amp;"  "&amp;Tabulka1[[#This Row],[položka+název.položky]]</f>
        <v xml:space="preserve">6171  5139 - Nákup materiálu j.n.
</v>
      </c>
      <c r="J139" s="50">
        <f>IF(Tabulka1[[#This Row],[typ]]="02 - výdej",Tabulka1[[#This Row],[rozpočet]]*(-1),Tabulka1[[#This Row],[rozpočet]]*1)</f>
        <v>-25000</v>
      </c>
    </row>
    <row r="140" spans="1:10" hidden="1" x14ac:dyDescent="0.25">
      <c r="A140" t="s">
        <v>483</v>
      </c>
      <c r="B140">
        <v>6171</v>
      </c>
      <c r="C140">
        <v>5151</v>
      </c>
      <c r="D140" s="34">
        <f>F140*4</f>
        <v>3040</v>
      </c>
      <c r="E140" t="s">
        <v>97</v>
      </c>
      <c r="F140" s="34">
        <f>2*380</f>
        <v>760</v>
      </c>
      <c r="G140" t="str">
        <f>VLOOKUP(Tabulka1[[#This Row],[paragraf]],paragrafy!A:C,3,0)</f>
        <v xml:space="preserve">6171 - Činnost místní správy
</v>
      </c>
      <c r="H140" t="str">
        <f>VLOOKUP(Tabulka1[[#This Row],[položka]],položky!A:C,3,0)</f>
        <v xml:space="preserve">5151 - Studená voda
</v>
      </c>
      <c r="I140" t="str">
        <f>Tabulka1[[#This Row],[paragraf]]&amp;"  "&amp;Tabulka1[[#This Row],[položka+název.položky]]</f>
        <v xml:space="preserve">6171  5151 - Studená voda
</v>
      </c>
      <c r="J140">
        <f>IF(Tabulka1[[#This Row],[typ]]="02 - výdej",Tabulka1[[#This Row],[rozpočet]]*(-1),Tabulka1[[#This Row],[rozpočet]]*1)</f>
        <v>-3040</v>
      </c>
    </row>
    <row r="141" spans="1:10" hidden="1" x14ac:dyDescent="0.25">
      <c r="A141" t="s">
        <v>483</v>
      </c>
      <c r="B141">
        <v>6171</v>
      </c>
      <c r="C141">
        <v>5153</v>
      </c>
      <c r="D141" s="34">
        <f>F141*12</f>
        <v>68400</v>
      </c>
      <c r="E141" t="s">
        <v>93</v>
      </c>
      <c r="F141" s="34">
        <v>5700</v>
      </c>
      <c r="G141" t="str">
        <f>VLOOKUP(Tabulka1[[#This Row],[paragraf]],paragrafy!A:C,3,0)</f>
        <v xml:space="preserve">6171 - Činnost místní správy
</v>
      </c>
      <c r="H141" t="str">
        <f>VLOOKUP(Tabulka1[[#This Row],[položka]],položky!A:C,3,0)</f>
        <v xml:space="preserve">5153 - Plyn
</v>
      </c>
      <c r="I141" t="str">
        <f>Tabulka1[[#This Row],[paragraf]]&amp;"  "&amp;Tabulka1[[#This Row],[položka+název.položky]]</f>
        <v xml:space="preserve">6171  5153 - Plyn
</v>
      </c>
      <c r="J141">
        <f>IF(Tabulka1[[#This Row],[typ]]="02 - výdej",Tabulka1[[#This Row],[rozpočet]]*(-1),Tabulka1[[#This Row],[rozpočet]]*1)</f>
        <v>-68400</v>
      </c>
    </row>
    <row r="142" spans="1:10" hidden="1" x14ac:dyDescent="0.25">
      <c r="A142" t="s">
        <v>483</v>
      </c>
      <c r="B142">
        <v>5512</v>
      </c>
      <c r="C142">
        <v>5154</v>
      </c>
      <c r="D142" s="34">
        <f>F142*12</f>
        <v>4320</v>
      </c>
      <c r="E142" t="s">
        <v>75</v>
      </c>
      <c r="F142" s="34">
        <f>3*120</f>
        <v>360</v>
      </c>
      <c r="G142" t="str">
        <f>VLOOKUP(Tabulka1[[#This Row],[paragraf]],paragrafy!A:C,3,0)</f>
        <v xml:space="preserve">5512 - Požární ochrana - dobrovolná část
</v>
      </c>
      <c r="H142" t="str">
        <f>VLOOKUP(Tabulka1[[#This Row],[položka]],položky!A:C,3,0)</f>
        <v xml:space="preserve">5154 - Elektrická energie
</v>
      </c>
      <c r="I142" t="str">
        <f>Tabulka1[[#This Row],[paragraf]]&amp;"  "&amp;Tabulka1[[#This Row],[položka+název.položky]]</f>
        <v xml:space="preserve">5512  5154 - Elektrická energie
</v>
      </c>
      <c r="J142">
        <f>IF(Tabulka1[[#This Row],[typ]]="02 - výdej",Tabulka1[[#This Row],[rozpočet]]*(-1),Tabulka1[[#This Row],[rozpočet]]*1)</f>
        <v>-4320</v>
      </c>
    </row>
    <row r="143" spans="1:10" hidden="1" x14ac:dyDescent="0.25">
      <c r="A143" t="s">
        <v>483</v>
      </c>
      <c r="B143">
        <v>6171</v>
      </c>
      <c r="C143">
        <v>5161</v>
      </c>
      <c r="D143" s="34">
        <v>3000</v>
      </c>
      <c r="E143" t="s">
        <v>447</v>
      </c>
      <c r="G143" t="str">
        <f>VLOOKUP(Tabulka1[[#This Row],[paragraf]],paragrafy!A:C,3,0)</f>
        <v xml:space="preserve">6171 - Činnost místní správy
</v>
      </c>
      <c r="H143" t="str">
        <f>VLOOKUP(Tabulka1[[#This Row],[položka]],položky!A:C,3,0)</f>
        <v xml:space="preserve">5161 - Poštovní služby
</v>
      </c>
      <c r="I143" t="str">
        <f>Tabulka1[[#This Row],[paragraf]]&amp;"  "&amp;Tabulka1[[#This Row],[položka+název.položky]]</f>
        <v xml:space="preserve">6171  5161 - Poštovní služby
</v>
      </c>
      <c r="J143" s="50">
        <f>IF(Tabulka1[[#This Row],[typ]]="02 - výdej",Tabulka1[[#This Row],[rozpočet]]*(-1),Tabulka1[[#This Row],[rozpočet]]*1)</f>
        <v>-3000</v>
      </c>
    </row>
    <row r="144" spans="1:10" hidden="1" x14ac:dyDescent="0.25">
      <c r="A144" t="s">
        <v>483</v>
      </c>
      <c r="B144">
        <v>6171</v>
      </c>
      <c r="C144">
        <v>5162</v>
      </c>
      <c r="D144" s="34">
        <f>1550*12+3000</f>
        <v>21600</v>
      </c>
      <c r="E144" t="s">
        <v>121</v>
      </c>
      <c r="G144" t="str">
        <f>VLOOKUP(Tabulka1[[#This Row],[paragraf]],paragrafy!A:C,3,0)</f>
        <v xml:space="preserve">6171 - Činnost místní správy
</v>
      </c>
      <c r="H144" t="str">
        <f>VLOOKUP(Tabulka1[[#This Row],[položka]],položky!A:C,3,0)</f>
        <v xml:space="preserve">5162 - Služby elektronických komunikací
</v>
      </c>
      <c r="I144" t="str">
        <f>Tabulka1[[#This Row],[paragraf]]&amp;"  "&amp;Tabulka1[[#This Row],[položka+název.položky]]</f>
        <v xml:space="preserve">6171  5162 - Služby elektronických komunikací
</v>
      </c>
      <c r="J144" s="50">
        <f>IF(Tabulka1[[#This Row],[typ]]="02 - výdej",Tabulka1[[#This Row],[rozpočet]]*(-1),Tabulka1[[#This Row],[rozpočet]]*1)</f>
        <v>-21600</v>
      </c>
    </row>
    <row r="145" spans="1:10" hidden="1" x14ac:dyDescent="0.25">
      <c r="A145" t="s">
        <v>483</v>
      </c>
      <c r="B145">
        <v>6171</v>
      </c>
      <c r="C145">
        <v>5163</v>
      </c>
      <c r="D145" s="34">
        <v>32000</v>
      </c>
      <c r="E145" t="s">
        <v>465</v>
      </c>
      <c r="G145" t="str">
        <f>VLOOKUP(Tabulka1[[#This Row],[paragraf]],paragrafy!A:C,3,0)</f>
        <v xml:space="preserve">6171 - Činnost místní správy
</v>
      </c>
      <c r="H145" t="str">
        <f>VLOOKUP(Tabulka1[[#This Row],[položka]],položky!A:C,3,0)</f>
        <v xml:space="preserve">5163 - Služby peněžních ústavů
</v>
      </c>
      <c r="I145" t="str">
        <f>Tabulka1[[#This Row],[paragraf]]&amp;"  "&amp;Tabulka1[[#This Row],[položka+název.položky]]</f>
        <v xml:space="preserve">6171  5163 - Služby peněžních ústavů
</v>
      </c>
      <c r="J145" s="50">
        <f>IF(Tabulka1[[#This Row],[typ]]="02 - výdej",Tabulka1[[#This Row],[rozpočet]]*(-1),Tabulka1[[#This Row],[rozpočet]]*1)</f>
        <v>-32000</v>
      </c>
    </row>
    <row r="146" spans="1:10" hidden="1" x14ac:dyDescent="0.25">
      <c r="A146" t="s">
        <v>483</v>
      </c>
      <c r="B146">
        <v>6171</v>
      </c>
      <c r="C146">
        <v>5164</v>
      </c>
      <c r="D146" s="34">
        <v>1000</v>
      </c>
      <c r="E146" t="s">
        <v>447</v>
      </c>
      <c r="G146" t="str">
        <f>VLOOKUP(Tabulka1[[#This Row],[paragraf]],paragrafy!A:C,3,0)</f>
        <v xml:space="preserve">6171 - Činnost místní správy
</v>
      </c>
      <c r="H146" t="str">
        <f>VLOOKUP(Tabulka1[[#This Row],[položka]],položky!A:C,3,0)</f>
        <v>5164 - Nájemné</v>
      </c>
      <c r="I146" t="str">
        <f>Tabulka1[[#This Row],[paragraf]]&amp;"  "&amp;Tabulka1[[#This Row],[položka+název.položky]]</f>
        <v>6171  5164 - Nájemné</v>
      </c>
      <c r="J146" s="50">
        <f>IF(Tabulka1[[#This Row],[typ]]="02 - výdej",Tabulka1[[#This Row],[rozpočet]]*(-1),Tabulka1[[#This Row],[rozpočet]]*1)</f>
        <v>-1000</v>
      </c>
    </row>
    <row r="147" spans="1:10" hidden="1" x14ac:dyDescent="0.25">
      <c r="A147" t="s">
        <v>483</v>
      </c>
      <c r="B147">
        <v>6171</v>
      </c>
      <c r="C147">
        <v>5167</v>
      </c>
      <c r="D147" s="34">
        <v>5000</v>
      </c>
      <c r="E147" t="s">
        <v>447</v>
      </c>
      <c r="G147" t="str">
        <f>VLOOKUP(Tabulka1[[#This Row],[paragraf]],paragrafy!A:C,3,0)</f>
        <v xml:space="preserve">6171 - Činnost místní správy
</v>
      </c>
      <c r="H147" t="str">
        <f>VLOOKUP(Tabulka1[[#This Row],[položka]],položky!A:C,3,0)</f>
        <v xml:space="preserve">5167 - Služby školení a vzdělávání
</v>
      </c>
      <c r="I147" t="str">
        <f>Tabulka1[[#This Row],[paragraf]]&amp;"  "&amp;Tabulka1[[#This Row],[položka+název.položky]]</f>
        <v xml:space="preserve">6171  5167 - Služby školení a vzdělávání
</v>
      </c>
      <c r="J147" s="50">
        <f>IF(Tabulka1[[#This Row],[typ]]="02 - výdej",Tabulka1[[#This Row],[rozpočet]]*(-1),Tabulka1[[#This Row],[rozpočet]]*1)</f>
        <v>-5000</v>
      </c>
    </row>
    <row r="148" spans="1:10" hidden="1" x14ac:dyDescent="0.25">
      <c r="A148" t="s">
        <v>483</v>
      </c>
      <c r="B148">
        <v>6171</v>
      </c>
      <c r="C148">
        <v>5168</v>
      </c>
      <c r="D148" s="34">
        <v>56000</v>
      </c>
      <c r="E148" t="s">
        <v>447</v>
      </c>
      <c r="G148" t="str">
        <f>VLOOKUP(Tabulka1[[#This Row],[paragraf]],paragrafy!A:C,3,0)</f>
        <v xml:space="preserve">6171 - Činnost místní správy
</v>
      </c>
      <c r="H148" t="str">
        <f>VLOOKUP(Tabulka1[[#This Row],[položka]],položky!A:C,3,0)</f>
        <v xml:space="preserve">5168 - Zpracování dat a služby souv. s inf. a kom.technol
</v>
      </c>
      <c r="I148" t="str">
        <f>Tabulka1[[#This Row],[paragraf]]&amp;"  "&amp;Tabulka1[[#This Row],[položka+název.položky]]</f>
        <v xml:space="preserve">6171  5168 - Zpracování dat a služby souv. s inf. a kom.technol
</v>
      </c>
      <c r="J148" s="50">
        <f>IF(Tabulka1[[#This Row],[typ]]="02 - výdej",Tabulka1[[#This Row],[rozpočet]]*(-1),Tabulka1[[#This Row],[rozpočet]]*1)</f>
        <v>-56000</v>
      </c>
    </row>
    <row r="149" spans="1:10" hidden="1" x14ac:dyDescent="0.25">
      <c r="A149" t="s">
        <v>483</v>
      </c>
      <c r="B149">
        <v>6171</v>
      </c>
      <c r="C149">
        <v>5169</v>
      </c>
      <c r="D149" s="34">
        <v>150000</v>
      </c>
      <c r="E149" t="s">
        <v>421</v>
      </c>
      <c r="G149" s="50" t="str">
        <f>VLOOKUP(Tabulka1[[#This Row],[paragraf]],paragrafy!A:C,3,0)</f>
        <v xml:space="preserve">6171 - Činnost místní správy
</v>
      </c>
      <c r="H149" s="50" t="str">
        <f>VLOOKUP(Tabulka1[[#This Row],[položka]],položky!A:C,3,0)</f>
        <v xml:space="preserve">5169 - Nákup ostatních služeb
</v>
      </c>
      <c r="I149" s="50" t="str">
        <f>Tabulka1[[#This Row],[paragraf]]&amp;"  "&amp;Tabulka1[[#This Row],[položka+název.položky]]</f>
        <v xml:space="preserve">6171  5169 - Nákup ostatních služeb
</v>
      </c>
      <c r="J149" s="50">
        <f>IF(Tabulka1[[#This Row],[typ]]="02 - výdej",Tabulka1[[#This Row],[rozpočet]]*(-1),Tabulka1[[#This Row],[rozpočet]]*1)</f>
        <v>-150000</v>
      </c>
    </row>
    <row r="150" spans="1:10" hidden="1" x14ac:dyDescent="0.25">
      <c r="A150" t="s">
        <v>483</v>
      </c>
      <c r="B150">
        <v>6171</v>
      </c>
      <c r="C150">
        <v>5169</v>
      </c>
      <c r="D150" s="34">
        <f>12*24200</f>
        <v>290400</v>
      </c>
      <c r="E150" t="s">
        <v>420</v>
      </c>
      <c r="G150" t="str">
        <f>VLOOKUP(Tabulka1[[#This Row],[paragraf]],paragrafy!A:C,3,0)</f>
        <v xml:space="preserve">6171 - Činnost místní správy
</v>
      </c>
      <c r="H150" t="str">
        <f>VLOOKUP(Tabulka1[[#This Row],[položka]],položky!A:C,3,0)</f>
        <v xml:space="preserve">5169 - Nákup ostatních služeb
</v>
      </c>
      <c r="I150" t="str">
        <f>Tabulka1[[#This Row],[paragraf]]&amp;"  "&amp;Tabulka1[[#This Row],[položka+název.položky]]</f>
        <v xml:space="preserve">6171  5169 - Nákup ostatních služeb
</v>
      </c>
      <c r="J150" s="50">
        <f>IF(Tabulka1[[#This Row],[typ]]="02 - výdej",Tabulka1[[#This Row],[rozpočet]]*(-1),Tabulka1[[#This Row],[rozpočet]]*1)</f>
        <v>-290400</v>
      </c>
    </row>
    <row r="151" spans="1:10" hidden="1" x14ac:dyDescent="0.25">
      <c r="A151" t="s">
        <v>483</v>
      </c>
      <c r="B151">
        <v>6171</v>
      </c>
      <c r="C151">
        <v>5171</v>
      </c>
      <c r="D151" s="34">
        <v>100000</v>
      </c>
      <c r="E151" t="s">
        <v>437</v>
      </c>
      <c r="G151" t="str">
        <f>VLOOKUP(Tabulka1[[#This Row],[paragraf]],paragrafy!A:C,3,0)</f>
        <v xml:space="preserve">6171 - Činnost místní správy
</v>
      </c>
      <c r="H151" t="str">
        <f>VLOOKUP(Tabulka1[[#This Row],[položka]],položky!A:C,3,0)</f>
        <v xml:space="preserve">5171 - Opravy a udržování
</v>
      </c>
      <c r="I151" t="str">
        <f>Tabulka1[[#This Row],[paragraf]]&amp;"  "&amp;Tabulka1[[#This Row],[položka+název.položky]]</f>
        <v xml:space="preserve">6171  5171 - Opravy a udržování
</v>
      </c>
      <c r="J151" s="50">
        <f>IF(Tabulka1[[#This Row],[typ]]="02 - výdej",Tabulka1[[#This Row],[rozpočet]]*(-1),Tabulka1[[#This Row],[rozpočet]]*1)</f>
        <v>-100000</v>
      </c>
    </row>
    <row r="152" spans="1:10" hidden="1" x14ac:dyDescent="0.25">
      <c r="A152" t="s">
        <v>483</v>
      </c>
      <c r="B152">
        <v>6171</v>
      </c>
      <c r="C152">
        <v>5173</v>
      </c>
      <c r="D152" s="34">
        <v>6000</v>
      </c>
      <c r="E152" t="s">
        <v>447</v>
      </c>
      <c r="G152" t="str">
        <f>VLOOKUP(Tabulka1[[#This Row],[paragraf]],paragrafy!A:C,3,0)</f>
        <v xml:space="preserve">6171 - Činnost místní správy
</v>
      </c>
      <c r="H152" t="str">
        <f>VLOOKUP(Tabulka1[[#This Row],[položka]],položky!A:C,3,0)</f>
        <v xml:space="preserve">5173 - Cestovné
</v>
      </c>
      <c r="I152" t="str">
        <f>Tabulka1[[#This Row],[paragraf]]&amp;"  "&amp;Tabulka1[[#This Row],[položka+název.položky]]</f>
        <v xml:space="preserve">6171  5173 - Cestovné
</v>
      </c>
      <c r="J152" s="50">
        <f>IF(Tabulka1[[#This Row],[typ]]="02 - výdej",Tabulka1[[#This Row],[rozpočet]]*(-1),Tabulka1[[#This Row],[rozpočet]]*1)</f>
        <v>-6000</v>
      </c>
    </row>
    <row r="153" spans="1:10" hidden="1" x14ac:dyDescent="0.25">
      <c r="A153" t="s">
        <v>483</v>
      </c>
      <c r="B153">
        <v>6171</v>
      </c>
      <c r="C153">
        <v>5175</v>
      </c>
      <c r="D153" s="34">
        <v>4000</v>
      </c>
      <c r="E153" t="s">
        <v>447</v>
      </c>
      <c r="G153" t="str">
        <f>VLOOKUP(Tabulka1[[#This Row],[paragraf]],paragrafy!A:C,3,0)</f>
        <v xml:space="preserve">6171 - Činnost místní správy
</v>
      </c>
      <c r="H153" t="str">
        <f>VLOOKUP(Tabulka1[[#This Row],[položka]],položky!A:C,3,0)</f>
        <v xml:space="preserve">5175 - Pohoštění
</v>
      </c>
      <c r="I153" t="str">
        <f>Tabulka1[[#This Row],[paragraf]]&amp;"  "&amp;Tabulka1[[#This Row],[položka+název.položky]]</f>
        <v xml:space="preserve">6171  5175 - Pohoštění
</v>
      </c>
      <c r="J153" s="50">
        <f>IF(Tabulka1[[#This Row],[typ]]="02 - výdej",Tabulka1[[#This Row],[rozpočet]]*(-1),Tabulka1[[#This Row],[rozpočet]]*1)</f>
        <v>-4000</v>
      </c>
    </row>
    <row r="154" spans="1:10" hidden="1" x14ac:dyDescent="0.25">
      <c r="A154" t="s">
        <v>483</v>
      </c>
      <c r="B154">
        <v>6171</v>
      </c>
      <c r="C154">
        <v>5179</v>
      </c>
      <c r="D154" s="34">
        <v>4100</v>
      </c>
      <c r="E154" t="s">
        <v>438</v>
      </c>
      <c r="G154" t="str">
        <f>VLOOKUP(Tabulka1[[#This Row],[paragraf]],paragrafy!A:C,3,0)</f>
        <v xml:space="preserve">6171 - Činnost místní správy
</v>
      </c>
      <c r="H154" t="str">
        <f>VLOOKUP(Tabulka1[[#This Row],[položka]],položky!A:C,3,0)</f>
        <v xml:space="preserve">5179 - Ostatní nákupy j.n.
</v>
      </c>
      <c r="I154" t="str">
        <f>Tabulka1[[#This Row],[paragraf]]&amp;"  "&amp;Tabulka1[[#This Row],[položka+název.položky]]</f>
        <v xml:space="preserve">6171  5179 - Ostatní nákupy j.n.
</v>
      </c>
      <c r="J154" s="50">
        <f>IF(Tabulka1[[#This Row],[typ]]="02 - výdej",Tabulka1[[#This Row],[rozpočet]]*(-1),Tabulka1[[#This Row],[rozpočet]]*1)</f>
        <v>-4100</v>
      </c>
    </row>
    <row r="155" spans="1:10" hidden="1" x14ac:dyDescent="0.25">
      <c r="A155" t="s">
        <v>483</v>
      </c>
      <c r="B155">
        <v>6171</v>
      </c>
      <c r="C155">
        <v>5321</v>
      </c>
      <c r="D155" s="34">
        <f>18000+5000</f>
        <v>23000</v>
      </c>
      <c r="E155" t="s">
        <v>447</v>
      </c>
      <c r="G155" t="str">
        <f>VLOOKUP(Tabulka1[[#This Row],[paragraf]],paragrafy!A:C,3,0)</f>
        <v xml:space="preserve">6171 - Činnost místní správy
</v>
      </c>
      <c r="H155" t="str">
        <f>VLOOKUP(Tabulka1[[#This Row],[položka]],položky!A:C,3,0)</f>
        <v xml:space="preserve">5321 - Neinvestiční transfery obcím
</v>
      </c>
      <c r="I155" t="str">
        <f>Tabulka1[[#This Row],[paragraf]]&amp;"  "&amp;Tabulka1[[#This Row],[položka+název.položky]]</f>
        <v xml:space="preserve">6171  5321 - Neinvestiční transfery obcím
</v>
      </c>
      <c r="J155" s="50">
        <f>IF(Tabulka1[[#This Row],[typ]]="02 - výdej",Tabulka1[[#This Row],[rozpočet]]*(-1),Tabulka1[[#This Row],[rozpočet]]*1)</f>
        <v>-23000</v>
      </c>
    </row>
    <row r="156" spans="1:10" hidden="1" x14ac:dyDescent="0.25">
      <c r="A156" t="s">
        <v>483</v>
      </c>
      <c r="B156">
        <v>6171</v>
      </c>
      <c r="C156">
        <v>5329</v>
      </c>
      <c r="D156" s="34">
        <v>27000</v>
      </c>
      <c r="E156" t="s">
        <v>449</v>
      </c>
      <c r="G156" t="str">
        <f>VLOOKUP(Tabulka1[[#This Row],[paragraf]],paragrafy!A:C,3,0)</f>
        <v xml:space="preserve">6171 - Činnost místní správy
</v>
      </c>
      <c r="H156" t="str">
        <f>VLOOKUP(Tabulka1[[#This Row],[položka]],položky!A:C,3,0)</f>
        <v xml:space="preserve">5329 - Ostatní neinv.transfery veř.rozp.územní úrovně
</v>
      </c>
      <c r="I156" t="str">
        <f>Tabulka1[[#This Row],[paragraf]]&amp;"  "&amp;Tabulka1[[#This Row],[položka+název.položky]]</f>
        <v xml:space="preserve">6171  5329 - Ostatní neinv.transfery veř.rozp.územní úrovně
</v>
      </c>
      <c r="J156" s="50">
        <f>IF(Tabulka1[[#This Row],[typ]]="02 - výdej",Tabulka1[[#This Row],[rozpočet]]*(-1),Tabulka1[[#This Row],[rozpočet]]*1)</f>
        <v>-27000</v>
      </c>
    </row>
    <row r="157" spans="1:10" hidden="1" x14ac:dyDescent="0.25">
      <c r="A157" t="s">
        <v>483</v>
      </c>
      <c r="B157">
        <v>6171</v>
      </c>
      <c r="C157">
        <v>5362</v>
      </c>
      <c r="D157" s="34">
        <v>5000</v>
      </c>
      <c r="E157" t="s">
        <v>447</v>
      </c>
      <c r="G157" t="str">
        <f>VLOOKUP(Tabulka1[[#This Row],[paragraf]],paragrafy!A:C,3,0)</f>
        <v xml:space="preserve">6171 - Činnost místní správy
</v>
      </c>
      <c r="H157" t="str">
        <f>VLOOKUP(Tabulka1[[#This Row],[položka]],položky!A:C,3,0)</f>
        <v xml:space="preserve">5362 - Platby daní a poplatků státnímu rozpočtu
</v>
      </c>
      <c r="I157" t="str">
        <f>Tabulka1[[#This Row],[paragraf]]&amp;"  "&amp;Tabulka1[[#This Row],[položka+název.položky]]</f>
        <v xml:space="preserve">6171  5362 - Platby daní a poplatků státnímu rozpočtu
</v>
      </c>
      <c r="J157" s="50">
        <f>IF(Tabulka1[[#This Row],[typ]]="02 - výdej",Tabulka1[[#This Row],[rozpočet]]*(-1),Tabulka1[[#This Row],[rozpočet]]*1)</f>
        <v>-5000</v>
      </c>
    </row>
    <row r="158" spans="1:10" hidden="1" x14ac:dyDescent="0.25">
      <c r="A158" t="s">
        <v>483</v>
      </c>
      <c r="B158">
        <v>6171</v>
      </c>
      <c r="C158">
        <v>5499</v>
      </c>
      <c r="D158" s="34">
        <f>500*12</f>
        <v>6000</v>
      </c>
      <c r="E158" t="s">
        <v>439</v>
      </c>
      <c r="G158" t="str">
        <f>VLOOKUP(Tabulka1[[#This Row],[paragraf]],paragrafy!A:C,3,0)</f>
        <v xml:space="preserve">6171 - Činnost místní správy
</v>
      </c>
      <c r="H158" t="str">
        <f>VLOOKUP(Tabulka1[[#This Row],[položka]],položky!A:C,3,0)</f>
        <v xml:space="preserve">5499 - Ostatní neinvestiční transfery obyvatelstvu
</v>
      </c>
      <c r="I158" t="str">
        <f>Tabulka1[[#This Row],[paragraf]]&amp;"  "&amp;Tabulka1[[#This Row],[položka+název.položky]]</f>
        <v xml:space="preserve">6171  5499 - Ostatní neinvestiční transfery obyvatelstvu
</v>
      </c>
      <c r="J158" s="50">
        <f>IF(Tabulka1[[#This Row],[typ]]="02 - výdej",Tabulka1[[#This Row],[rozpočet]]*(-1),Tabulka1[[#This Row],[rozpočet]]*1)</f>
        <v>-6000</v>
      </c>
    </row>
    <row r="159" spans="1:10" hidden="1" x14ac:dyDescent="0.25">
      <c r="A159" t="s">
        <v>483</v>
      </c>
      <c r="B159">
        <v>6310</v>
      </c>
      <c r="C159">
        <v>5163</v>
      </c>
      <c r="D159" s="34">
        <v>10000</v>
      </c>
      <c r="E159" t="s">
        <v>464</v>
      </c>
      <c r="G159" t="str">
        <f>VLOOKUP(Tabulka1[[#This Row],[paragraf]],paragrafy!A:C,3,0)</f>
        <v xml:space="preserve">6310 - Obecné příjmy a výdaje z finančních operací
</v>
      </c>
      <c r="H159" t="str">
        <f>VLOOKUP(Tabulka1[[#This Row],[položka]],položky!A:C,3,0)</f>
        <v xml:space="preserve">5163 - Služby peněžních ústavů
</v>
      </c>
      <c r="I159" t="str">
        <f>Tabulka1[[#This Row],[paragraf]]&amp;"  "&amp;Tabulka1[[#This Row],[položka+název.položky]]</f>
        <v xml:space="preserve">6310  5163 - Služby peněžních ústavů
</v>
      </c>
      <c r="J159" s="50">
        <f>IF(Tabulka1[[#This Row],[typ]]="02 - výdej",Tabulka1[[#This Row],[rozpočet]]*(-1),Tabulka1[[#This Row],[rozpočet]]*1)</f>
        <v>-10000</v>
      </c>
    </row>
    <row r="160" spans="1:10" hidden="1" x14ac:dyDescent="0.25">
      <c r="A160" t="s">
        <v>483</v>
      </c>
      <c r="B160">
        <v>6399</v>
      </c>
      <c r="C160">
        <v>5362</v>
      </c>
      <c r="D160" s="34">
        <v>100000</v>
      </c>
      <c r="E160" t="s">
        <v>478</v>
      </c>
      <c r="G160" s="50" t="str">
        <f>VLOOKUP(Tabulka1[[#This Row],[paragraf]],paragrafy!A:C,3,0)</f>
        <v xml:space="preserve">6399 - Ostatní finanční operace
</v>
      </c>
      <c r="H160" s="50" t="str">
        <f>VLOOKUP(Tabulka1[[#This Row],[položka]],položky!A:C,3,0)</f>
        <v xml:space="preserve">5362 - Platby daní a poplatků státnímu rozpočtu
</v>
      </c>
      <c r="I160" s="50" t="str">
        <f>Tabulka1[[#This Row],[paragraf]]&amp;"  "&amp;Tabulka1[[#This Row],[položka+název.položky]]</f>
        <v xml:space="preserve">6399  5362 - Platby daní a poplatků státnímu rozpočtu
</v>
      </c>
      <c r="J160" s="50">
        <f>IF(Tabulka1[[#This Row],[typ]]="02 - výdej",Tabulka1[[#This Row],[rozpočet]]*(-1),Tabulka1[[#This Row],[rozpočet]]*1)</f>
        <v>-100000</v>
      </c>
    </row>
    <row r="161" spans="1:10" hidden="1" x14ac:dyDescent="0.25">
      <c r="A161" t="s">
        <v>483</v>
      </c>
      <c r="B161">
        <v>6399</v>
      </c>
      <c r="C161">
        <v>5365</v>
      </c>
      <c r="D161" s="34">
        <v>500000</v>
      </c>
      <c r="E161" t="s">
        <v>448</v>
      </c>
      <c r="G161" t="str">
        <f>VLOOKUP(Tabulka1[[#This Row],[paragraf]],paragrafy!A:C,3,0)</f>
        <v xml:space="preserve">6399 - Ostatní finanční operace
</v>
      </c>
      <c r="H161" t="str">
        <f>VLOOKUP(Tabulka1[[#This Row],[položka]],položky!A:C,3,0)</f>
        <v xml:space="preserve">5365 - Platby daní a poplatků krajům, obcím a st.fondům
</v>
      </c>
      <c r="I161" t="str">
        <f>Tabulka1[[#This Row],[paragraf]]&amp;"  "&amp;Tabulka1[[#This Row],[položka+název.položky]]</f>
        <v xml:space="preserve">6399  5365 - Platby daní a poplatků krajům, obcím a st.fondům
</v>
      </c>
      <c r="J161" s="50">
        <f>IF(Tabulka1[[#This Row],[typ]]="02 - výdej",Tabulka1[[#This Row],[rozpočet]]*(-1),Tabulka1[[#This Row],[rozpočet]]*1)</f>
        <v>-500000</v>
      </c>
    </row>
    <row r="162" spans="1:10" x14ac:dyDescent="0.25">
      <c r="A162" t="s">
        <v>483</v>
      </c>
      <c r="B162">
        <v>6402</v>
      </c>
      <c r="C162">
        <v>5364</v>
      </c>
      <c r="D162" s="34">
        <v>48119.62</v>
      </c>
      <c r="E162" t="s">
        <v>450</v>
      </c>
      <c r="G162" t="str">
        <f>VLOOKUP(Tabulka1[[#This Row],[paragraf]],paragrafy!A:C,3,0)</f>
        <v xml:space="preserve">6402 - Finanční vypořádání
</v>
      </c>
      <c r="H162" t="str">
        <f>VLOOKUP(Tabulka1[[#This Row],[položka]],položky!A:C,3,0)</f>
        <v xml:space="preserve">5364 - Vratky transferů poskytnutých z veřejných rozpočtů
</v>
      </c>
      <c r="I162" t="str">
        <f>Tabulka1[[#This Row],[paragraf]]&amp;"  "&amp;Tabulka1[[#This Row],[položka+název.položky]]</f>
        <v xml:space="preserve">6402  5364 - Vratky transferů poskytnutých z veřejných rozpočtů
</v>
      </c>
      <c r="J162" s="50">
        <f>IF(Tabulka1[[#This Row],[typ]]="02 - výdej",Tabulka1[[#This Row],[rozpočet]]*(-1),Tabulka1[[#This Row],[rozpočet]]*1)</f>
        <v>-48119.62</v>
      </c>
    </row>
    <row r="163" spans="1:10" hidden="1" x14ac:dyDescent="0.25">
      <c r="A163" t="s">
        <v>481</v>
      </c>
      <c r="C163">
        <v>8124</v>
      </c>
      <c r="D163" s="34">
        <v>1000000</v>
      </c>
      <c r="E163" t="s">
        <v>489</v>
      </c>
      <c r="G163" s="50" t="str">
        <f>VLOOKUP(Tabulka1[[#This Row],[paragraf]],paragrafy!A:C,3,0)</f>
        <v xml:space="preserve">0 - Bez ODPA
</v>
      </c>
      <c r="H163" s="50" t="str">
        <f>VLOOKUP(Tabulka1[[#This Row],[položka]],položky!A:C,3,0)</f>
        <v>8124 - Splátka úvěru</v>
      </c>
      <c r="I163" s="50" t="str">
        <f>Tabulka1[[#This Row],[paragraf]]&amp;"  "&amp;Tabulka1[[#This Row],[položka+název.položky]]</f>
        <v xml:space="preserve">  8124 - Splátka úvěru</v>
      </c>
      <c r="J163" s="50">
        <v>-1000000</v>
      </c>
    </row>
    <row r="164" spans="1:10" hidden="1" x14ac:dyDescent="0.25">
      <c r="A164" t="s">
        <v>483</v>
      </c>
      <c r="B164">
        <v>6171</v>
      </c>
      <c r="C164">
        <v>5154</v>
      </c>
      <c r="D164" s="34">
        <f>F164*12</f>
        <v>51840</v>
      </c>
      <c r="E164" t="s">
        <v>80</v>
      </c>
      <c r="F164" s="34">
        <f>3*1440</f>
        <v>4320</v>
      </c>
      <c r="G164" t="str">
        <f>VLOOKUP(Tabulka1[[#This Row],[paragraf]],paragrafy!A:C,3,0)</f>
        <v xml:space="preserve">6171 - Činnost místní správy
</v>
      </c>
      <c r="H164" t="str">
        <f>VLOOKUP(Tabulka1[[#This Row],[položka]],položky!A:C,3,0)</f>
        <v xml:space="preserve">5154 - Elektrická energie
</v>
      </c>
      <c r="I164" t="str">
        <f>Tabulka1[[#This Row],[paragraf]]&amp;"  "&amp;Tabulka1[[#This Row],[položka+název.položky]]</f>
        <v xml:space="preserve">6171  5154 - Elektrická energie
</v>
      </c>
      <c r="J164">
        <f>IF(Tabulka1[[#This Row],[typ]]="02 - výdej",Tabulka1[[#This Row],[rozpočet]]*(-1),Tabulka1[[#This Row],[rozpočet]]*1)</f>
        <v>-51840</v>
      </c>
    </row>
    <row r="165" spans="1:10" hidden="1" x14ac:dyDescent="0.25">
      <c r="A165" t="s">
        <v>483</v>
      </c>
      <c r="B165">
        <v>2219</v>
      </c>
      <c r="C165">
        <v>6121</v>
      </c>
      <c r="D165" s="34">
        <v>150000</v>
      </c>
      <c r="E165" t="s">
        <v>508</v>
      </c>
      <c r="G165" s="50" t="str">
        <f>VLOOKUP(Tabulka1[[#This Row],[paragraf]],paragrafy!A:C,3,0)</f>
        <v xml:space="preserve">2219 - Ostatní záležitosti pozemních komunikací
</v>
      </c>
      <c r="H165" s="50" t="str">
        <f>VLOOKUP(Tabulka1[[#This Row],[položka]],položky!A:C,3,0)</f>
        <v xml:space="preserve">6121 - Budovy, haly a stavby
</v>
      </c>
      <c r="I165" s="50" t="str">
        <f>Tabulka1[[#This Row],[paragraf]]&amp;"  "&amp;Tabulka1[[#This Row],[položka+název.položky]]</f>
        <v xml:space="preserve">2219  6121 - Budovy, haly a stavby
</v>
      </c>
      <c r="J165" s="50">
        <f>IF(Tabulka1[[#This Row],[typ]]="02 - výdej",Tabulka1[[#This Row],[rozpočet]]*(-1),Tabulka1[[#This Row],[rozpočet]]*1)</f>
        <v>-150000</v>
      </c>
    </row>
    <row r="166" spans="1:10" hidden="1" x14ac:dyDescent="0.25">
      <c r="A166" t="s">
        <v>483</v>
      </c>
      <c r="B166">
        <v>3319</v>
      </c>
      <c r="C166">
        <v>5499</v>
      </c>
      <c r="D166" s="34">
        <v>20000</v>
      </c>
      <c r="E166" t="s">
        <v>311</v>
      </c>
      <c r="G166" s="50" t="str">
        <f>VLOOKUP(Tabulka1[[#This Row],[paragraf]],paragrafy!A:C,3,0)</f>
        <v xml:space="preserve">3319 - Ostatní záležitosti kultury
</v>
      </c>
      <c r="H166" s="50" t="str">
        <f>VLOOKUP(Tabulka1[[#This Row],[položka]],položky!A:C,3,0)</f>
        <v xml:space="preserve">5499 - Ostatní neinvestiční transfery obyvatelstvu
</v>
      </c>
      <c r="I166" s="50" t="str">
        <f>Tabulka1[[#This Row],[paragraf]]&amp;"  "&amp;Tabulka1[[#This Row],[položka+název.položky]]</f>
        <v xml:space="preserve">3319  5499 - Ostatní neinvestiční transfery obyvatelstvu
</v>
      </c>
      <c r="J166" s="50">
        <f>IF(Tabulka1[[#This Row],[typ]]="02 - výdej",Tabulka1[[#This Row],[rozpočet]]*(-1),Tabulka1[[#This Row],[rozpočet]]*1)</f>
        <v>-20000</v>
      </c>
    </row>
    <row r="167" spans="1:10" ht="30" hidden="1" x14ac:dyDescent="0.25">
      <c r="A167" t="s">
        <v>483</v>
      </c>
      <c r="B167">
        <v>3631</v>
      </c>
      <c r="C167">
        <v>6121</v>
      </c>
      <c r="D167" s="34">
        <v>100000</v>
      </c>
      <c r="E167" s="71" t="s">
        <v>513</v>
      </c>
      <c r="G167" s="50" t="str">
        <f>VLOOKUP(Tabulka1[[#This Row],[paragraf]],paragrafy!A:C,3,0)</f>
        <v xml:space="preserve">3631 - Veřejné osvětlení
</v>
      </c>
      <c r="H167" s="50" t="str">
        <f>VLOOKUP(Tabulka1[[#This Row],[položka]],položky!A:C,3,0)</f>
        <v xml:space="preserve">6121 - Budovy, haly a stavby
</v>
      </c>
      <c r="I167" s="50" t="str">
        <f>Tabulka1[[#This Row],[paragraf]]&amp;"  "&amp;Tabulka1[[#This Row],[položka+název.položky]]</f>
        <v xml:space="preserve">3631  6121 - Budovy, haly a stavby
</v>
      </c>
      <c r="J167" s="50">
        <f>IF(Tabulka1[[#This Row],[typ]]="02 - výdej",Tabulka1[[#This Row],[rozpočet]]*(-1),Tabulka1[[#This Row],[rozpočet]]*1)</f>
        <v>-100000</v>
      </c>
    </row>
    <row r="168" spans="1:10" hidden="1" x14ac:dyDescent="0.25">
      <c r="A168" t="s">
        <v>483</v>
      </c>
      <c r="B168">
        <v>3314</v>
      </c>
      <c r="C168">
        <v>5339</v>
      </c>
      <c r="D168" s="34">
        <v>7000</v>
      </c>
      <c r="E168" t="s">
        <v>514</v>
      </c>
      <c r="G168" s="50" t="str">
        <f>VLOOKUP(Tabulka1[[#This Row],[paragraf]],paragrafy!A:C,3,0)</f>
        <v xml:space="preserve">3314 - Činnosti knihovnické
</v>
      </c>
      <c r="H168" s="50" t="str">
        <f>VLOOKUP(Tabulka1[[#This Row],[položka]],položky!A:C,3,0)</f>
        <v>5339 - Neinvestiční transféry cizím PO</v>
      </c>
      <c r="I168" s="50" t="str">
        <f>Tabulka1[[#This Row],[paragraf]]&amp;"  "&amp;Tabulka1[[#This Row],[položka+název.položky]]</f>
        <v>3314  5339 - Neinvestiční transféry cizím PO</v>
      </c>
      <c r="J168" s="50">
        <f>IF(Tabulka1[[#This Row],[typ]]="02 - výdej",Tabulka1[[#This Row],[rozpočet]]*(-1),Tabulka1[[#This Row],[rozpočet]]*1)</f>
        <v>-7000</v>
      </c>
    </row>
    <row r="169" spans="1:10" hidden="1" x14ac:dyDescent="0.25">
      <c r="A169" t="s">
        <v>483</v>
      </c>
      <c r="B169">
        <v>2219</v>
      </c>
      <c r="C169">
        <v>5171</v>
      </c>
      <c r="D169" s="34">
        <v>60000</v>
      </c>
      <c r="E169" s="71" t="s">
        <v>528</v>
      </c>
      <c r="G169" s="50" t="str">
        <f>VLOOKUP(Tabulka1[[#This Row],[paragraf]],paragrafy!A:C,3,0)</f>
        <v xml:space="preserve">2219 - Ostatní záležitosti pozemních komunikací
</v>
      </c>
      <c r="H169" s="50" t="str">
        <f>VLOOKUP(Tabulka1[[#This Row],[položka]],položky!A:C,3,0)</f>
        <v xml:space="preserve">5171 - Opravy a udržování
</v>
      </c>
      <c r="I169" s="50" t="str">
        <f>Tabulka1[[#This Row],[paragraf]]&amp;"  "&amp;Tabulka1[[#This Row],[položka+název.položky]]</f>
        <v xml:space="preserve">2219  5171 - Opravy a udržování
</v>
      </c>
      <c r="J169" s="50">
        <f>IF(Tabulka1[[#This Row],[typ]]="02 - výdej",Tabulka1[[#This Row],[rozpočet]]*(-1),Tabulka1[[#This Row],[rozpočet]]*1)</f>
        <v>-60000</v>
      </c>
    </row>
    <row r="170" spans="1:10" hidden="1" x14ac:dyDescent="0.25">
      <c r="A170" t="s">
        <v>483</v>
      </c>
      <c r="B170">
        <v>5213</v>
      </c>
      <c r="C170">
        <v>5903</v>
      </c>
      <c r="D170" s="34">
        <v>200000</v>
      </c>
      <c r="E170" t="s">
        <v>517</v>
      </c>
      <c r="G170" s="50" t="str">
        <f>VLOOKUP(Tabulka1[[#This Row],[paragraf]],paragrafy!A:C,3,0)</f>
        <v xml:space="preserve">5213 - Krizová opatření
</v>
      </c>
      <c r="H170" s="50" t="str">
        <f>VLOOKUP(Tabulka1[[#This Row],[položka]],položky!A:C,3,0)</f>
        <v xml:space="preserve">5903 - Rezerva na krizová opatření
</v>
      </c>
      <c r="I170" s="50" t="str">
        <f>Tabulka1[[#This Row],[paragraf]]&amp;"  "&amp;Tabulka1[[#This Row],[položka+název.položky]]</f>
        <v xml:space="preserve">5213  5903 - Rezerva na krizová opatření
</v>
      </c>
      <c r="J170" s="50">
        <f>IF(Tabulka1[[#This Row],[typ]]="02 - výdej",Tabulka1[[#This Row],[rozpočet]]*(-1),Tabulka1[[#This Row],[rozpočet]]*1)</f>
        <v>-200000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B653-ED40-4871-8DEC-78DA417F9FE3}">
  <sheetPr>
    <tabColor rgb="FFFFC000"/>
  </sheetPr>
  <dimension ref="A1:C45"/>
  <sheetViews>
    <sheetView topLeftCell="A13" workbookViewId="0">
      <selection activeCell="B46" sqref="B46"/>
    </sheetView>
  </sheetViews>
  <sheetFormatPr defaultRowHeight="15" x14ac:dyDescent="0.25"/>
  <cols>
    <col min="3" max="3" width="55.85546875" bestFit="1" customWidth="1"/>
  </cols>
  <sheetData>
    <row r="1" spans="1:3" x14ac:dyDescent="0.25">
      <c r="A1" t="s">
        <v>219</v>
      </c>
      <c r="B1" t="s">
        <v>72</v>
      </c>
      <c r="C1" t="s">
        <v>255</v>
      </c>
    </row>
    <row r="2" spans="1:3" x14ac:dyDescent="0.25">
      <c r="A2">
        <v>0</v>
      </c>
      <c r="B2" t="s">
        <v>220</v>
      </c>
      <c r="C2" t="str">
        <f t="shared" ref="C2:C36" si="0">A2&amp;" - "&amp;B2</f>
        <v xml:space="preserve">0 - Bez ODPA
</v>
      </c>
    </row>
    <row r="3" spans="1:3" x14ac:dyDescent="0.25">
      <c r="A3">
        <v>2219</v>
      </c>
      <c r="B3" t="s">
        <v>221</v>
      </c>
      <c r="C3" t="str">
        <f t="shared" si="0"/>
        <v xml:space="preserve">2219 - Ostatní záležitosti pozemních komunikací
</v>
      </c>
    </row>
    <row r="4" spans="1:3" x14ac:dyDescent="0.25">
      <c r="A4">
        <v>2321</v>
      </c>
      <c r="B4" t="s">
        <v>222</v>
      </c>
      <c r="C4" t="str">
        <f t="shared" si="0"/>
        <v xml:space="preserve">2321 - Odvádění a čištění odpadních vod a nakl.s kaly
</v>
      </c>
    </row>
    <row r="5" spans="1:3" x14ac:dyDescent="0.25">
      <c r="A5">
        <v>3111</v>
      </c>
      <c r="B5" t="s">
        <v>223</v>
      </c>
      <c r="C5" t="str">
        <f t="shared" si="0"/>
        <v xml:space="preserve">3111 - Mateřské školy
</v>
      </c>
    </row>
    <row r="6" spans="1:3" x14ac:dyDescent="0.25">
      <c r="A6">
        <v>3113</v>
      </c>
      <c r="B6" t="s">
        <v>224</v>
      </c>
      <c r="C6" t="str">
        <f t="shared" si="0"/>
        <v xml:space="preserve">3113 - Základní školy
</v>
      </c>
    </row>
    <row r="7" spans="1:3" x14ac:dyDescent="0.25">
      <c r="A7">
        <v>3314</v>
      </c>
      <c r="B7" t="s">
        <v>225</v>
      </c>
      <c r="C7" t="str">
        <f t="shared" si="0"/>
        <v xml:space="preserve">3314 - Činnosti knihovnické
</v>
      </c>
    </row>
    <row r="8" spans="1:3" x14ac:dyDescent="0.25">
      <c r="A8">
        <v>3319</v>
      </c>
      <c r="B8" t="s">
        <v>226</v>
      </c>
      <c r="C8" t="str">
        <f t="shared" si="0"/>
        <v xml:space="preserve">3319 - Ostatní záležitosti kultury
</v>
      </c>
    </row>
    <row r="9" spans="1:3" x14ac:dyDescent="0.25">
      <c r="A9">
        <v>3326</v>
      </c>
      <c r="B9" t="s">
        <v>227</v>
      </c>
      <c r="C9" t="str">
        <f t="shared" si="0"/>
        <v xml:space="preserve">3326 - Pořízení,zachování a obnova hodnot nár hist.povědo
</v>
      </c>
    </row>
    <row r="10" spans="1:3" x14ac:dyDescent="0.25">
      <c r="A10">
        <v>3392</v>
      </c>
      <c r="B10" t="s">
        <v>228</v>
      </c>
      <c r="C10" t="str">
        <f t="shared" si="0"/>
        <v xml:space="preserve">3392 - Zájmová činnost v kultuře
</v>
      </c>
    </row>
    <row r="11" spans="1:3" x14ac:dyDescent="0.25">
      <c r="A11">
        <v>3399</v>
      </c>
      <c r="B11" t="s">
        <v>229</v>
      </c>
      <c r="C11" t="str">
        <f t="shared" si="0"/>
        <v xml:space="preserve">3399 - Ostatní záležitosti kultury,církví a sděl.prostř.
</v>
      </c>
    </row>
    <row r="12" spans="1:3" x14ac:dyDescent="0.25">
      <c r="A12">
        <v>3412</v>
      </c>
      <c r="B12" t="s">
        <v>230</v>
      </c>
      <c r="C12" t="str">
        <f t="shared" si="0"/>
        <v xml:space="preserve">3412 - Sportovní zařízení ve vlastnictví obce
</v>
      </c>
    </row>
    <row r="13" spans="1:3" x14ac:dyDescent="0.25">
      <c r="A13">
        <v>3419</v>
      </c>
      <c r="B13" t="s">
        <v>231</v>
      </c>
      <c r="C13" t="str">
        <f t="shared" si="0"/>
        <v xml:space="preserve">3419 - Ostatní sportovní činnost
</v>
      </c>
    </row>
    <row r="14" spans="1:3" x14ac:dyDescent="0.25">
      <c r="A14">
        <v>3519</v>
      </c>
      <c r="B14" t="s">
        <v>232</v>
      </c>
      <c r="C14" t="str">
        <f t="shared" si="0"/>
        <v xml:space="preserve">3519 - Ostatní ambulantní péče
</v>
      </c>
    </row>
    <row r="15" spans="1:3" x14ac:dyDescent="0.25">
      <c r="A15">
        <v>3612</v>
      </c>
      <c r="B15" t="s">
        <v>233</v>
      </c>
      <c r="C15" t="str">
        <f t="shared" si="0"/>
        <v xml:space="preserve">3612 - ODPA
</v>
      </c>
    </row>
    <row r="16" spans="1:3" x14ac:dyDescent="0.25">
      <c r="A16">
        <v>3613</v>
      </c>
      <c r="B16" t="s">
        <v>234</v>
      </c>
      <c r="C16" t="str">
        <f t="shared" si="0"/>
        <v xml:space="preserve">3613 - Nebytové hospodářství
</v>
      </c>
    </row>
    <row r="17" spans="1:3" x14ac:dyDescent="0.25">
      <c r="A17">
        <v>3631</v>
      </c>
      <c r="B17" t="s">
        <v>235</v>
      </c>
      <c r="C17" t="str">
        <f t="shared" si="0"/>
        <v xml:space="preserve">3631 - Veřejné osvětlení
</v>
      </c>
    </row>
    <row r="18" spans="1:3" x14ac:dyDescent="0.25">
      <c r="A18">
        <v>3632</v>
      </c>
      <c r="B18" t="s">
        <v>236</v>
      </c>
      <c r="C18" t="str">
        <f t="shared" si="0"/>
        <v xml:space="preserve">3632 - Pohřebnictví
</v>
      </c>
    </row>
    <row r="19" spans="1:3" x14ac:dyDescent="0.25">
      <c r="A19">
        <v>3635</v>
      </c>
      <c r="B19" t="s">
        <v>237</v>
      </c>
      <c r="C19" t="str">
        <f t="shared" si="0"/>
        <v xml:space="preserve">3635 - Územní plánování
</v>
      </c>
    </row>
    <row r="20" spans="1:3" x14ac:dyDescent="0.25">
      <c r="A20">
        <v>3721</v>
      </c>
      <c r="B20" t="s">
        <v>238</v>
      </c>
      <c r="C20" t="str">
        <f t="shared" si="0"/>
        <v xml:space="preserve">3721 - Sběr a svoz nebezpečných odpadů
</v>
      </c>
    </row>
    <row r="21" spans="1:3" x14ac:dyDescent="0.25">
      <c r="A21">
        <v>3722</v>
      </c>
      <c r="B21" t="s">
        <v>239</v>
      </c>
      <c r="C21" t="str">
        <f t="shared" si="0"/>
        <v xml:space="preserve">3722 - Sběr a svoz komunálních odpadů
</v>
      </c>
    </row>
    <row r="22" spans="1:3" x14ac:dyDescent="0.25">
      <c r="A22">
        <v>3723</v>
      </c>
      <c r="B22" t="s">
        <v>240</v>
      </c>
      <c r="C22" t="str">
        <f t="shared" si="0"/>
        <v xml:space="preserve">3723 - Sběr a svoz ost.odpadů (jiných než nebez.a komun.)
</v>
      </c>
    </row>
    <row r="23" spans="1:3" x14ac:dyDescent="0.25">
      <c r="A23">
        <v>3725</v>
      </c>
      <c r="B23" t="s">
        <v>241</v>
      </c>
      <c r="C23" t="str">
        <f t="shared" si="0"/>
        <v xml:space="preserve">3725 - Využívání a zneškodňování komun.odpadů
</v>
      </c>
    </row>
    <row r="24" spans="1:3" x14ac:dyDescent="0.25">
      <c r="A24">
        <v>3745</v>
      </c>
      <c r="B24" t="s">
        <v>242</v>
      </c>
      <c r="C24" t="str">
        <f t="shared" si="0"/>
        <v xml:space="preserve">3745 - Péče o vzhled obcí a veřejnou zeleň
</v>
      </c>
    </row>
    <row r="25" spans="1:3" x14ac:dyDescent="0.25">
      <c r="A25">
        <v>4351</v>
      </c>
      <c r="B25" t="s">
        <v>243</v>
      </c>
      <c r="C25" t="str">
        <f t="shared" si="0"/>
        <v xml:space="preserve">4351 - Osobní asist., peč.služba a podpora samost.bydlení
</v>
      </c>
    </row>
    <row r="26" spans="1:3" x14ac:dyDescent="0.25">
      <c r="A26">
        <v>5213</v>
      </c>
      <c r="B26" t="s">
        <v>244</v>
      </c>
      <c r="C26" t="str">
        <f t="shared" si="0"/>
        <v xml:space="preserve">5213 - Krizová opatření
</v>
      </c>
    </row>
    <row r="27" spans="1:3" x14ac:dyDescent="0.25">
      <c r="A27">
        <v>5269</v>
      </c>
      <c r="B27" t="s">
        <v>245</v>
      </c>
      <c r="C27" t="str">
        <f t="shared" si="0"/>
        <v xml:space="preserve">5269 - Ost.správa v obl.hosp.opatření pro kriziové stavy
</v>
      </c>
    </row>
    <row r="28" spans="1:3" x14ac:dyDescent="0.25">
      <c r="A28">
        <v>5512</v>
      </c>
      <c r="B28" t="s">
        <v>246</v>
      </c>
      <c r="C28" t="str">
        <f t="shared" si="0"/>
        <v xml:space="preserve">5512 - Požární ochrana - dobrovolná část
</v>
      </c>
    </row>
    <row r="29" spans="1:3" x14ac:dyDescent="0.25">
      <c r="A29">
        <v>6112</v>
      </c>
      <c r="B29" t="s">
        <v>247</v>
      </c>
      <c r="C29" t="str">
        <f t="shared" si="0"/>
        <v xml:space="preserve">6112 - Zastupitelstva obcí
</v>
      </c>
    </row>
    <row r="30" spans="1:3" x14ac:dyDescent="0.25">
      <c r="A30">
        <v>6114</v>
      </c>
      <c r="B30" t="s">
        <v>248</v>
      </c>
      <c r="C30" t="str">
        <f t="shared" si="0"/>
        <v xml:space="preserve">6114 - Volby do Parlamentu ČR
</v>
      </c>
    </row>
    <row r="31" spans="1:3" x14ac:dyDescent="0.25">
      <c r="A31">
        <v>6171</v>
      </c>
      <c r="B31" t="s">
        <v>249</v>
      </c>
      <c r="C31" t="str">
        <f t="shared" si="0"/>
        <v xml:space="preserve">6171 - Činnost místní správy
</v>
      </c>
    </row>
    <row r="32" spans="1:3" x14ac:dyDescent="0.25">
      <c r="A32">
        <v>6310</v>
      </c>
      <c r="B32" t="s">
        <v>250</v>
      </c>
      <c r="C32" t="str">
        <f t="shared" si="0"/>
        <v xml:space="preserve">6310 - Obecné příjmy a výdaje z finančních operací
</v>
      </c>
    </row>
    <row r="33" spans="1:3" x14ac:dyDescent="0.25">
      <c r="A33">
        <v>6320</v>
      </c>
      <c r="B33" t="s">
        <v>251</v>
      </c>
      <c r="C33" t="str">
        <f t="shared" si="0"/>
        <v xml:space="preserve">6320 - Pojištění funkčně nespecifikované
</v>
      </c>
    </row>
    <row r="34" spans="1:3" x14ac:dyDescent="0.25">
      <c r="A34">
        <v>6330</v>
      </c>
      <c r="B34" t="s">
        <v>252</v>
      </c>
      <c r="C34" t="str">
        <f t="shared" si="0"/>
        <v xml:space="preserve">6330 - Převody vlastním fondům v rozpočtech územní úrovně
</v>
      </c>
    </row>
    <row r="35" spans="1:3" x14ac:dyDescent="0.25">
      <c r="A35">
        <v>6399</v>
      </c>
      <c r="B35" t="s">
        <v>253</v>
      </c>
      <c r="C35" t="str">
        <f t="shared" si="0"/>
        <v xml:space="preserve">6399 - Ostatní finanční operace
</v>
      </c>
    </row>
    <row r="36" spans="1:3" x14ac:dyDescent="0.25">
      <c r="A36">
        <v>6402</v>
      </c>
      <c r="B36" t="s">
        <v>254</v>
      </c>
      <c r="C36" t="str">
        <f t="shared" si="0"/>
        <v xml:space="preserve">6402 - Finanční vypořádání
</v>
      </c>
    </row>
    <row r="37" spans="1:3" x14ac:dyDescent="0.25">
      <c r="A37">
        <v>1032</v>
      </c>
      <c r="B37" t="s">
        <v>288</v>
      </c>
      <c r="C37" t="str">
        <f t="shared" ref="C37:C45" si="1">A37&amp;" - "&amp;B37</f>
        <v>1032 - Podpora ostatních produkčních činností</v>
      </c>
    </row>
    <row r="38" spans="1:3" x14ac:dyDescent="0.25">
      <c r="A38">
        <v>2212</v>
      </c>
      <c r="B38" t="s">
        <v>30</v>
      </c>
      <c r="C38" t="str">
        <f t="shared" si="1"/>
        <v>2212 - Silnice</v>
      </c>
    </row>
    <row r="39" spans="1:3" x14ac:dyDescent="0.25">
      <c r="A39">
        <v>2292</v>
      </c>
      <c r="B39" t="s">
        <v>289</v>
      </c>
      <c r="C39" t="str">
        <f t="shared" si="1"/>
        <v>2292 - Dopravní obslužnost veř. Službami</v>
      </c>
    </row>
    <row r="40" spans="1:3" x14ac:dyDescent="0.25">
      <c r="A40">
        <v>2333</v>
      </c>
      <c r="B40" t="s">
        <v>290</v>
      </c>
      <c r="C40" t="str">
        <f t="shared" si="1"/>
        <v>2333 - Úpravy drobných vodních toků</v>
      </c>
    </row>
    <row r="41" spans="1:3" x14ac:dyDescent="0.25">
      <c r="A41">
        <v>2341</v>
      </c>
      <c r="B41" t="s">
        <v>291</v>
      </c>
      <c r="C41" t="str">
        <f t="shared" si="1"/>
        <v>2341 - Vodní díla v zemědělské krajině</v>
      </c>
    </row>
    <row r="42" spans="1:3" x14ac:dyDescent="0.25">
      <c r="A42">
        <v>3322</v>
      </c>
      <c r="B42" t="s">
        <v>292</v>
      </c>
      <c r="C42" t="str">
        <f t="shared" si="1"/>
        <v>3322 - Zachování a obnova kulturních památek</v>
      </c>
    </row>
    <row r="43" spans="1:3" x14ac:dyDescent="0.25">
      <c r="A43">
        <v>3421</v>
      </c>
      <c r="B43" t="s">
        <v>44</v>
      </c>
      <c r="C43" t="str">
        <f t="shared" si="1"/>
        <v>3421 - Využití volného času dětí a mládeže</v>
      </c>
    </row>
    <row r="44" spans="1:3" x14ac:dyDescent="0.25">
      <c r="A44">
        <v>3429</v>
      </c>
      <c r="B44" t="s">
        <v>293</v>
      </c>
      <c r="C44" t="str">
        <f t="shared" si="1"/>
        <v>3429 - Zájmová činnost a rekreace j.n.</v>
      </c>
    </row>
    <row r="45" spans="1:3" x14ac:dyDescent="0.25">
      <c r="A45">
        <v>3639</v>
      </c>
      <c r="B45" t="s">
        <v>20</v>
      </c>
      <c r="C45" t="str">
        <f t="shared" si="1"/>
        <v>3639 - Komunální služby a územní rozvoj j.n.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0785-3D14-4952-89D0-A7600F8B43C2}">
  <sheetPr>
    <tabColor rgb="FFFFC000"/>
  </sheetPr>
  <dimension ref="A1:C95"/>
  <sheetViews>
    <sheetView topLeftCell="A73" workbookViewId="0">
      <selection activeCell="A93" sqref="A93:C95"/>
    </sheetView>
  </sheetViews>
  <sheetFormatPr defaultRowHeight="15" x14ac:dyDescent="0.25"/>
  <sheetData>
    <row r="1" spans="1:3" x14ac:dyDescent="0.25">
      <c r="A1" t="s">
        <v>212</v>
      </c>
      <c r="B1" t="s">
        <v>127</v>
      </c>
      <c r="C1" t="s">
        <v>213</v>
      </c>
    </row>
    <row r="2" spans="1:3" x14ac:dyDescent="0.25">
      <c r="A2">
        <v>1111</v>
      </c>
      <c r="B2" t="s">
        <v>128</v>
      </c>
      <c r="C2" t="str">
        <f>A2&amp;" - "&amp;B2</f>
        <v xml:space="preserve">1111 - Daň z příjmů fyzických osob placená plátci
</v>
      </c>
    </row>
    <row r="3" spans="1:3" x14ac:dyDescent="0.25">
      <c r="A3">
        <v>1112</v>
      </c>
      <c r="B3" t="s">
        <v>129</v>
      </c>
      <c r="C3" t="str">
        <f t="shared" ref="C3:C66" si="0">A3&amp;" - "&amp;B3</f>
        <v xml:space="preserve">1112 - Daň z příjmů fyzických osob placená poplatníky
</v>
      </c>
    </row>
    <row r="4" spans="1:3" x14ac:dyDescent="0.25">
      <c r="A4">
        <v>1113</v>
      </c>
      <c r="B4" t="s">
        <v>130</v>
      </c>
      <c r="C4" t="str">
        <f t="shared" si="0"/>
        <v xml:space="preserve">1113 - Daň z příjmů fyzických osob vybíraná srážkou
</v>
      </c>
    </row>
    <row r="5" spans="1:3" x14ac:dyDescent="0.25">
      <c r="A5">
        <v>1121</v>
      </c>
      <c r="B5" t="s">
        <v>131</v>
      </c>
      <c r="C5" t="str">
        <f t="shared" si="0"/>
        <v xml:space="preserve">1121 - Daň z příjmů právnických osob
</v>
      </c>
    </row>
    <row r="6" spans="1:3" x14ac:dyDescent="0.25">
      <c r="A6">
        <v>1122</v>
      </c>
      <c r="B6" t="s">
        <v>132</v>
      </c>
      <c r="C6" t="str">
        <f t="shared" si="0"/>
        <v xml:space="preserve">1122 - Daň z příjmů právnických osob za obce
</v>
      </c>
    </row>
    <row r="7" spans="1:3" x14ac:dyDescent="0.25">
      <c r="A7">
        <v>1211</v>
      </c>
      <c r="B7" t="s">
        <v>133</v>
      </c>
      <c r="C7" t="str">
        <f t="shared" si="0"/>
        <v xml:space="preserve">1211 - Daň z přidané hodnoty
</v>
      </c>
    </row>
    <row r="8" spans="1:3" x14ac:dyDescent="0.25">
      <c r="A8">
        <v>1334</v>
      </c>
      <c r="B8" t="s">
        <v>134</v>
      </c>
      <c r="C8" t="str">
        <f t="shared" si="0"/>
        <v xml:space="preserve">1334 - Odvody za odnětí půdy ze zemědělského půdního fond
</v>
      </c>
    </row>
    <row r="9" spans="1:3" x14ac:dyDescent="0.25">
      <c r="A9">
        <v>1337</v>
      </c>
      <c r="B9" t="s">
        <v>135</v>
      </c>
      <c r="C9" t="str">
        <f t="shared" si="0"/>
        <v xml:space="preserve">1337 - Poplatek za komunální odpad
</v>
      </c>
    </row>
    <row r="10" spans="1:3" x14ac:dyDescent="0.25">
      <c r="A10">
        <v>1341</v>
      </c>
      <c r="B10" t="s">
        <v>136</v>
      </c>
      <c r="C10" t="str">
        <f t="shared" si="0"/>
        <v xml:space="preserve">1341 - Poplatek ze psů
</v>
      </c>
    </row>
    <row r="11" spans="1:3" x14ac:dyDescent="0.25">
      <c r="A11">
        <v>1343</v>
      </c>
      <c r="B11" t="s">
        <v>137</v>
      </c>
      <c r="C11" t="str">
        <f t="shared" si="0"/>
        <v xml:space="preserve">1343 - Poplatek za užívání veřejného prostranství
</v>
      </c>
    </row>
    <row r="12" spans="1:3" x14ac:dyDescent="0.25">
      <c r="A12">
        <v>1361</v>
      </c>
      <c r="B12" t="s">
        <v>138</v>
      </c>
      <c r="C12" t="str">
        <f t="shared" si="0"/>
        <v xml:space="preserve">1361 - Správní poplatky
</v>
      </c>
    </row>
    <row r="13" spans="1:3" x14ac:dyDescent="0.25">
      <c r="A13">
        <v>1381</v>
      </c>
      <c r="B13" t="s">
        <v>139</v>
      </c>
      <c r="C13" t="str">
        <f t="shared" si="0"/>
        <v xml:space="preserve">1381 - Daň z hazardních her s výj. dílčí daně z tech. her
</v>
      </c>
    </row>
    <row r="14" spans="1:3" x14ac:dyDescent="0.25">
      <c r="A14">
        <v>1511</v>
      </c>
      <c r="B14" t="s">
        <v>140</v>
      </c>
      <c r="C14" t="str">
        <f t="shared" si="0"/>
        <v xml:space="preserve">1511 - Daň z nemovitých věcí
</v>
      </c>
    </row>
    <row r="15" spans="1:3" x14ac:dyDescent="0.25">
      <c r="A15">
        <v>2111</v>
      </c>
      <c r="B15" t="s">
        <v>148</v>
      </c>
      <c r="C15" t="str">
        <f t="shared" si="0"/>
        <v xml:space="preserve">2111 - Příjmy z poskytování služeb a výrobků
</v>
      </c>
    </row>
    <row r="16" spans="1:3" x14ac:dyDescent="0.25">
      <c r="A16">
        <v>2119</v>
      </c>
      <c r="B16" t="s">
        <v>152</v>
      </c>
      <c r="C16" t="str">
        <f t="shared" si="0"/>
        <v xml:space="preserve">2119 - Ostatní příjmy z vlastní činnosti
</v>
      </c>
    </row>
    <row r="17" spans="1:3" x14ac:dyDescent="0.25">
      <c r="A17">
        <v>2131</v>
      </c>
      <c r="B17" t="s">
        <v>153</v>
      </c>
      <c r="C17" t="str">
        <f t="shared" si="0"/>
        <v xml:space="preserve">2131 - Příjmy z pronájmu pozemků
</v>
      </c>
    </row>
    <row r="18" spans="1:3" x14ac:dyDescent="0.25">
      <c r="A18">
        <v>2132</v>
      </c>
      <c r="B18" t="s">
        <v>150</v>
      </c>
      <c r="C18" t="str">
        <f t="shared" si="0"/>
        <v xml:space="preserve">2132 - Přijmy z pronájmu ost. nem. věcí a jejich částí
</v>
      </c>
    </row>
    <row r="19" spans="1:3" x14ac:dyDescent="0.25">
      <c r="A19">
        <v>2141</v>
      </c>
      <c r="B19" t="s">
        <v>155</v>
      </c>
      <c r="C19" t="str">
        <f t="shared" si="0"/>
        <v xml:space="preserve">2141 - Příjmy z úroků (část)
</v>
      </c>
    </row>
    <row r="20" spans="1:3" x14ac:dyDescent="0.25">
      <c r="A20">
        <v>2142</v>
      </c>
      <c r="B20" t="s">
        <v>156</v>
      </c>
      <c r="C20" t="str">
        <f t="shared" si="0"/>
        <v xml:space="preserve">2142 - Příjmy z podílů na zisku a dividend
</v>
      </c>
    </row>
    <row r="21" spans="1:3" x14ac:dyDescent="0.25">
      <c r="A21">
        <v>2229</v>
      </c>
      <c r="B21" t="s">
        <v>149</v>
      </c>
      <c r="C21" t="str">
        <f t="shared" si="0"/>
        <v xml:space="preserve">2229 - Ostatní přijaté vratky transferů a podobné příjmy
</v>
      </c>
    </row>
    <row r="22" spans="1:3" x14ac:dyDescent="0.25">
      <c r="A22">
        <v>2322</v>
      </c>
      <c r="B22" t="s">
        <v>154</v>
      </c>
      <c r="C22" t="str">
        <f t="shared" si="0"/>
        <v xml:space="preserve">2322 - Přijaté pojistné náhrady
</v>
      </c>
    </row>
    <row r="23" spans="1:3" x14ac:dyDescent="0.25">
      <c r="A23">
        <v>2324</v>
      </c>
      <c r="B23" t="s">
        <v>151</v>
      </c>
      <c r="C23" t="str">
        <f t="shared" si="0"/>
        <v xml:space="preserve">2324 - Přijaté nekapitálové příspěvky a náhrady
</v>
      </c>
    </row>
    <row r="24" spans="1:3" x14ac:dyDescent="0.25">
      <c r="A24">
        <v>4111</v>
      </c>
      <c r="B24" t="s">
        <v>141</v>
      </c>
      <c r="C24" t="str">
        <f t="shared" si="0"/>
        <v xml:space="preserve">4111 - Neinvestiční přijaté transf.z všeob.pokl.správy SR
</v>
      </c>
    </row>
    <row r="25" spans="1:3" x14ac:dyDescent="0.25">
      <c r="A25">
        <v>4112</v>
      </c>
      <c r="B25" t="s">
        <v>142</v>
      </c>
      <c r="C25" t="str">
        <f t="shared" si="0"/>
        <v xml:space="preserve">4112 - Neinv.př.transfery ze SR v rámci souhr.dot.vztahu
</v>
      </c>
    </row>
    <row r="26" spans="1:3" x14ac:dyDescent="0.25">
      <c r="A26">
        <v>4116</v>
      </c>
      <c r="B26" t="s">
        <v>143</v>
      </c>
      <c r="C26" t="str">
        <f t="shared" si="0"/>
        <v xml:space="preserve">4116 - Ostatní neinv.přijaté transfery ze st. rozpočtu
</v>
      </c>
    </row>
    <row r="27" spans="1:3" x14ac:dyDescent="0.25">
      <c r="A27">
        <v>4122</v>
      </c>
      <c r="B27" t="s">
        <v>144</v>
      </c>
      <c r="C27" t="str">
        <f t="shared" si="0"/>
        <v xml:space="preserve">4122 - Neinvestiční přijaté transfery od krajů
</v>
      </c>
    </row>
    <row r="28" spans="1:3" x14ac:dyDescent="0.25">
      <c r="A28">
        <v>4134</v>
      </c>
      <c r="B28" t="s">
        <v>157</v>
      </c>
      <c r="C28" t="str">
        <f t="shared" si="0"/>
        <v xml:space="preserve">4134 - Převody z rozpočtových účtů
</v>
      </c>
    </row>
    <row r="29" spans="1:3" x14ac:dyDescent="0.25">
      <c r="A29">
        <v>4213</v>
      </c>
      <c r="B29" t="s">
        <v>145</v>
      </c>
      <c r="C29" t="str">
        <f t="shared" si="0"/>
        <v xml:space="preserve">4213 - Investiční přijaté transfery ze státních fondů
</v>
      </c>
    </row>
    <row r="30" spans="1:3" x14ac:dyDescent="0.25">
      <c r="A30">
        <v>4216</v>
      </c>
      <c r="B30" t="s">
        <v>146</v>
      </c>
      <c r="C30" t="str">
        <f t="shared" si="0"/>
        <v xml:space="preserve">4216 - Ostatní invest.přijaté transf.ze státního rozpočtu
</v>
      </c>
    </row>
    <row r="31" spans="1:3" x14ac:dyDescent="0.25">
      <c r="A31">
        <v>4222</v>
      </c>
      <c r="B31" t="s">
        <v>147</v>
      </c>
      <c r="C31" t="str">
        <f t="shared" si="0"/>
        <v xml:space="preserve">4222 - Investiční přijaté transfery od krajů
</v>
      </c>
    </row>
    <row r="32" spans="1:3" x14ac:dyDescent="0.25">
      <c r="A32">
        <v>5011</v>
      </c>
      <c r="B32" t="s">
        <v>161</v>
      </c>
      <c r="C32" t="str">
        <f t="shared" si="0"/>
        <v xml:space="preserve">5011 - Platy zaměst. v pr.poměru vyjma zaměst. na služ.m.
</v>
      </c>
    </row>
    <row r="33" spans="1:3" x14ac:dyDescent="0.25">
      <c r="A33">
        <v>5019</v>
      </c>
      <c r="B33" t="s">
        <v>195</v>
      </c>
      <c r="C33" t="str">
        <f t="shared" si="0"/>
        <v xml:space="preserve">5019 - Ostatní platy
</v>
      </c>
    </row>
    <row r="34" spans="1:3" x14ac:dyDescent="0.25">
      <c r="A34">
        <v>5021</v>
      </c>
      <c r="B34" t="s">
        <v>162</v>
      </c>
      <c r="C34" t="str">
        <f t="shared" si="0"/>
        <v xml:space="preserve">5021 - Ostatní osobní výdaje
</v>
      </c>
    </row>
    <row r="35" spans="1:3" x14ac:dyDescent="0.25">
      <c r="A35">
        <v>5023</v>
      </c>
      <c r="B35" t="s">
        <v>194</v>
      </c>
      <c r="C35" t="str">
        <f t="shared" si="0"/>
        <v xml:space="preserve">5023 - Odměny členů zastupitelstva obcí a krajů
</v>
      </c>
    </row>
    <row r="36" spans="1:3" x14ac:dyDescent="0.25">
      <c r="A36">
        <v>5031</v>
      </c>
      <c r="B36" t="s">
        <v>163</v>
      </c>
      <c r="C36" t="str">
        <f t="shared" si="0"/>
        <v xml:space="preserve">5031 - Povinné poj.na soc.zab.a přísp.na st.pol.zaměstnan
</v>
      </c>
    </row>
    <row r="37" spans="1:3" x14ac:dyDescent="0.25">
      <c r="A37">
        <v>5032</v>
      </c>
      <c r="B37" t="s">
        <v>164</v>
      </c>
      <c r="C37" t="str">
        <f t="shared" si="0"/>
        <v xml:space="preserve">5032 - Povinné poj.na veřejné zdravotní pojištění
</v>
      </c>
    </row>
    <row r="38" spans="1:3" x14ac:dyDescent="0.25">
      <c r="A38">
        <v>5038</v>
      </c>
      <c r="B38" t="s">
        <v>198</v>
      </c>
      <c r="C38" t="str">
        <f t="shared" si="0"/>
        <v xml:space="preserve">5038 - Povinné pojistné na úrazové pojištění
</v>
      </c>
    </row>
    <row r="39" spans="1:3" x14ac:dyDescent="0.25">
      <c r="A39">
        <v>5039</v>
      </c>
      <c r="B39" t="s">
        <v>196</v>
      </c>
      <c r="C39" t="str">
        <f t="shared" si="0"/>
        <v xml:space="preserve">5039 - Ostatní povinné pojistné placené zaměstnavatelem
</v>
      </c>
    </row>
    <row r="40" spans="1:3" x14ac:dyDescent="0.25">
      <c r="A40">
        <v>5041</v>
      </c>
      <c r="B40" t="s">
        <v>199</v>
      </c>
      <c r="C40" t="str">
        <f t="shared" si="0"/>
        <v xml:space="preserve">5041 - Odměny za užití duševního vlastnictví
</v>
      </c>
    </row>
    <row r="41" spans="1:3" x14ac:dyDescent="0.25">
      <c r="A41">
        <v>5131</v>
      </c>
      <c r="B41" t="s">
        <v>200</v>
      </c>
      <c r="C41" t="str">
        <f t="shared" si="0"/>
        <v xml:space="preserve">5131 - Potraviny
</v>
      </c>
    </row>
    <row r="42" spans="1:3" x14ac:dyDescent="0.25">
      <c r="A42">
        <v>5132</v>
      </c>
      <c r="B42" t="s">
        <v>165</v>
      </c>
      <c r="C42" t="str">
        <f t="shared" si="0"/>
        <v xml:space="preserve">5132 - Ochranné pomůcky
</v>
      </c>
    </row>
    <row r="43" spans="1:3" x14ac:dyDescent="0.25">
      <c r="A43">
        <v>5133</v>
      </c>
      <c r="B43" t="s">
        <v>190</v>
      </c>
      <c r="C43" t="str">
        <f t="shared" si="0"/>
        <v xml:space="preserve">5133 - Léky a zdravotnický materiál
</v>
      </c>
    </row>
    <row r="44" spans="1:3" x14ac:dyDescent="0.25">
      <c r="A44">
        <v>5134</v>
      </c>
      <c r="B44" t="s">
        <v>201</v>
      </c>
      <c r="C44" t="str">
        <f t="shared" si="0"/>
        <v xml:space="preserve">5134 - Prádlo, oděv a obuv
</v>
      </c>
    </row>
    <row r="45" spans="1:3" x14ac:dyDescent="0.25">
      <c r="A45">
        <v>5136</v>
      </c>
      <c r="B45" t="s">
        <v>176</v>
      </c>
      <c r="C45" t="str">
        <f t="shared" si="0"/>
        <v xml:space="preserve">5136 - Knihy, učební pomůcky a tisk
</v>
      </c>
    </row>
    <row r="46" spans="1:3" x14ac:dyDescent="0.25">
      <c r="A46">
        <v>5137</v>
      </c>
      <c r="B46" t="s">
        <v>179</v>
      </c>
      <c r="C46" t="str">
        <f t="shared" si="0"/>
        <v xml:space="preserve">5137 - Drobný dlouhodobý hmotný majetek
</v>
      </c>
    </row>
    <row r="47" spans="1:3" x14ac:dyDescent="0.25">
      <c r="A47">
        <v>5139</v>
      </c>
      <c r="B47" t="s">
        <v>166</v>
      </c>
      <c r="C47" t="str">
        <f t="shared" si="0"/>
        <v xml:space="preserve">5139 - Nákup materiálu j.n.
</v>
      </c>
    </row>
    <row r="48" spans="1:3" x14ac:dyDescent="0.25">
      <c r="A48">
        <v>5141</v>
      </c>
      <c r="B48" t="s">
        <v>167</v>
      </c>
      <c r="C48" t="str">
        <f t="shared" si="0"/>
        <v xml:space="preserve">5141 - Úroky vlastní
</v>
      </c>
    </row>
    <row r="49" spans="1:3" x14ac:dyDescent="0.25">
      <c r="A49">
        <v>5151</v>
      </c>
      <c r="B49" t="s">
        <v>168</v>
      </c>
      <c r="C49" t="str">
        <f t="shared" si="0"/>
        <v xml:space="preserve">5151 - Studená voda
</v>
      </c>
    </row>
    <row r="50" spans="1:3" x14ac:dyDescent="0.25">
      <c r="A50">
        <v>5153</v>
      </c>
      <c r="B50" t="s">
        <v>180</v>
      </c>
      <c r="C50" t="str">
        <f t="shared" si="0"/>
        <v xml:space="preserve">5153 - Plyn
</v>
      </c>
    </row>
    <row r="51" spans="1:3" x14ac:dyDescent="0.25">
      <c r="A51">
        <v>5154</v>
      </c>
      <c r="B51" t="s">
        <v>169</v>
      </c>
      <c r="C51" t="str">
        <f t="shared" si="0"/>
        <v xml:space="preserve">5154 - Elektrická energie
</v>
      </c>
    </row>
    <row r="52" spans="1:3" x14ac:dyDescent="0.25">
      <c r="A52">
        <v>5156</v>
      </c>
      <c r="B52" t="s">
        <v>186</v>
      </c>
      <c r="C52" t="str">
        <f t="shared" si="0"/>
        <v xml:space="preserve">5156 - Pohonné hmoty a maziva
</v>
      </c>
    </row>
    <row r="53" spans="1:3" x14ac:dyDescent="0.25">
      <c r="A53">
        <v>5161</v>
      </c>
      <c r="B53" t="s">
        <v>170</v>
      </c>
      <c r="C53" t="str">
        <f t="shared" si="0"/>
        <v xml:space="preserve">5161 - Poštovní služby
</v>
      </c>
    </row>
    <row r="54" spans="1:3" x14ac:dyDescent="0.25">
      <c r="A54">
        <v>5162</v>
      </c>
      <c r="B54" t="s">
        <v>171</v>
      </c>
      <c r="C54" t="str">
        <f t="shared" si="0"/>
        <v xml:space="preserve">5162 - Služby elektronických komunikací
</v>
      </c>
    </row>
    <row r="55" spans="1:3" x14ac:dyDescent="0.25">
      <c r="A55">
        <v>5163</v>
      </c>
      <c r="B55" t="s">
        <v>202</v>
      </c>
      <c r="C55" t="str">
        <f t="shared" si="0"/>
        <v xml:space="preserve">5163 - Služby peněžních ústavů
</v>
      </c>
    </row>
    <row r="56" spans="1:3" x14ac:dyDescent="0.25">
      <c r="A56">
        <v>5167</v>
      </c>
      <c r="B56" t="s">
        <v>188</v>
      </c>
      <c r="C56" t="str">
        <f t="shared" si="0"/>
        <v xml:space="preserve">5167 - Služby školení a vzdělávání
</v>
      </c>
    </row>
    <row r="57" spans="1:3" x14ac:dyDescent="0.25">
      <c r="A57">
        <v>5168</v>
      </c>
      <c r="B57" t="s">
        <v>177</v>
      </c>
      <c r="C57" t="str">
        <f t="shared" si="0"/>
        <v xml:space="preserve">5168 - Zpracování dat a služby souv. s inf. a kom.technol
</v>
      </c>
    </row>
    <row r="58" spans="1:3" x14ac:dyDescent="0.25">
      <c r="A58">
        <v>5169</v>
      </c>
      <c r="B58" t="s">
        <v>158</v>
      </c>
      <c r="C58" t="str">
        <f t="shared" si="0"/>
        <v xml:space="preserve">5169 - Nákup ostatních služeb
</v>
      </c>
    </row>
    <row r="59" spans="1:3" x14ac:dyDescent="0.25">
      <c r="A59">
        <v>5171</v>
      </c>
      <c r="B59" t="s">
        <v>159</v>
      </c>
      <c r="C59" t="str">
        <f t="shared" si="0"/>
        <v xml:space="preserve">5171 - Opravy a udržování
</v>
      </c>
    </row>
    <row r="60" spans="1:3" x14ac:dyDescent="0.25">
      <c r="A60">
        <v>5172</v>
      </c>
      <c r="B60" t="s">
        <v>203</v>
      </c>
      <c r="C60" t="str">
        <f t="shared" si="0"/>
        <v xml:space="preserve">5172 - Programové vybavení
</v>
      </c>
    </row>
    <row r="61" spans="1:3" x14ac:dyDescent="0.25">
      <c r="A61">
        <v>5173</v>
      </c>
      <c r="B61" t="s">
        <v>178</v>
      </c>
      <c r="C61" t="str">
        <f t="shared" si="0"/>
        <v xml:space="preserve">5173 - Cestovné
</v>
      </c>
    </row>
    <row r="62" spans="1:3" x14ac:dyDescent="0.25">
      <c r="A62">
        <v>5175</v>
      </c>
      <c r="B62" t="s">
        <v>197</v>
      </c>
      <c r="C62" t="str">
        <f t="shared" si="0"/>
        <v xml:space="preserve">5175 - Pohoštění
</v>
      </c>
    </row>
    <row r="63" spans="1:3" x14ac:dyDescent="0.25">
      <c r="A63">
        <v>5179</v>
      </c>
      <c r="B63" t="s">
        <v>204</v>
      </c>
      <c r="C63" t="str">
        <f t="shared" si="0"/>
        <v xml:space="preserve">5179 - Ostatní nákupy j.n.
</v>
      </c>
    </row>
    <row r="64" spans="1:3" x14ac:dyDescent="0.25">
      <c r="A64">
        <v>5182</v>
      </c>
      <c r="B64" t="s">
        <v>205</v>
      </c>
      <c r="C64" t="str">
        <f t="shared" si="0"/>
        <v xml:space="preserve">5182 - Převody vlastní pokladně
</v>
      </c>
    </row>
    <row r="65" spans="1:3" x14ac:dyDescent="0.25">
      <c r="A65">
        <v>5189</v>
      </c>
      <c r="B65" t="s">
        <v>172</v>
      </c>
      <c r="C65" t="str">
        <f t="shared" si="0"/>
        <v xml:space="preserve">5189 - Jistoty
</v>
      </c>
    </row>
    <row r="66" spans="1:3" x14ac:dyDescent="0.25">
      <c r="A66">
        <v>5194</v>
      </c>
      <c r="B66" t="s">
        <v>181</v>
      </c>
      <c r="C66" t="str">
        <f t="shared" si="0"/>
        <v xml:space="preserve">5194 - Věcné dary
</v>
      </c>
    </row>
    <row r="67" spans="1:3" x14ac:dyDescent="0.25">
      <c r="A67">
        <v>5221</v>
      </c>
      <c r="B67" t="s">
        <v>189</v>
      </c>
      <c r="C67" t="str">
        <f t="shared" ref="C67:C94" si="1">A67&amp;" - "&amp;B67</f>
        <v xml:space="preserve">5221 - Neinv.transf. fundacím, ústavům a obecně prosp.sp.
</v>
      </c>
    </row>
    <row r="68" spans="1:3" x14ac:dyDescent="0.25">
      <c r="A68">
        <v>5222</v>
      </c>
      <c r="B68" t="s">
        <v>183</v>
      </c>
      <c r="C68" t="str">
        <f t="shared" si="1"/>
        <v xml:space="preserve">5222 - Neinvestiční transfery spolkům
</v>
      </c>
    </row>
    <row r="69" spans="1:3" x14ac:dyDescent="0.25">
      <c r="A69">
        <v>5223</v>
      </c>
      <c r="B69" t="s">
        <v>182</v>
      </c>
      <c r="C69" t="str">
        <f t="shared" si="1"/>
        <v xml:space="preserve">5223 - Neinv.transfery církvím a naboženským společnostem
</v>
      </c>
    </row>
    <row r="70" spans="1:3" x14ac:dyDescent="0.25">
      <c r="A70">
        <v>5229</v>
      </c>
      <c r="B70" t="s">
        <v>206</v>
      </c>
      <c r="C70" t="str">
        <f t="shared" si="1"/>
        <v xml:space="preserve">5229 - Ostatní neinv.transfery nezisk.a podob.organizacím
</v>
      </c>
    </row>
    <row r="71" spans="1:3" x14ac:dyDescent="0.25">
      <c r="A71">
        <v>5321</v>
      </c>
      <c r="B71" t="s">
        <v>192</v>
      </c>
      <c r="C71" t="str">
        <f t="shared" si="1"/>
        <v xml:space="preserve">5321 - Neinvestiční transfery obcím
</v>
      </c>
    </row>
    <row r="72" spans="1:3" x14ac:dyDescent="0.25">
      <c r="A72">
        <v>5329</v>
      </c>
      <c r="B72" t="s">
        <v>207</v>
      </c>
      <c r="C72" t="str">
        <f t="shared" si="1"/>
        <v xml:space="preserve">5329 - Ostatní neinv.transfery veř.rozp.územní úrovně
</v>
      </c>
    </row>
    <row r="73" spans="1:3" x14ac:dyDescent="0.25">
      <c r="A73">
        <v>5331</v>
      </c>
      <c r="B73" t="s">
        <v>174</v>
      </c>
      <c r="C73" t="str">
        <f t="shared" si="1"/>
        <v xml:space="preserve">5331 - Neinvestiční příspěvky zřízeným příspěvkovým organ
</v>
      </c>
    </row>
    <row r="74" spans="1:3" x14ac:dyDescent="0.25">
      <c r="A74">
        <v>5336</v>
      </c>
      <c r="B74" t="s">
        <v>175</v>
      </c>
      <c r="C74" t="str">
        <f t="shared" si="1"/>
        <v xml:space="preserve">5336 - Neinvest.transfery zřízeným příspěvkovým organizac
</v>
      </c>
    </row>
    <row r="75" spans="1:3" x14ac:dyDescent="0.25">
      <c r="A75">
        <v>5345</v>
      </c>
      <c r="B75" t="s">
        <v>209</v>
      </c>
      <c r="C75" t="str">
        <f t="shared" si="1"/>
        <v xml:space="preserve">5345 - Převody vlastním rozpočtovým účtům
</v>
      </c>
    </row>
    <row r="76" spans="1:3" x14ac:dyDescent="0.25">
      <c r="A76">
        <v>5362</v>
      </c>
      <c r="B76" t="s">
        <v>173</v>
      </c>
      <c r="C76" t="str">
        <f t="shared" si="1"/>
        <v xml:space="preserve">5362 - Platby daní a poplatků státnímu rozpočtu
</v>
      </c>
    </row>
    <row r="77" spans="1:3" x14ac:dyDescent="0.25">
      <c r="A77">
        <v>5364</v>
      </c>
      <c r="B77" t="s">
        <v>211</v>
      </c>
      <c r="C77" t="str">
        <f t="shared" si="1"/>
        <v xml:space="preserve">5364 - Vratky transferů poskytnutých z veřejných rozpočtů
</v>
      </c>
    </row>
    <row r="78" spans="1:3" x14ac:dyDescent="0.25">
      <c r="A78">
        <v>5365</v>
      </c>
      <c r="B78" t="s">
        <v>210</v>
      </c>
      <c r="C78" t="str">
        <f t="shared" si="1"/>
        <v xml:space="preserve">5365 - Platby daní a poplatků krajům, obcím a st.fondům
</v>
      </c>
    </row>
    <row r="79" spans="1:3" x14ac:dyDescent="0.25">
      <c r="A79">
        <v>5424</v>
      </c>
      <c r="B79" t="s">
        <v>187</v>
      </c>
      <c r="C79" t="str">
        <f t="shared" si="1"/>
        <v xml:space="preserve">5424 - Náhrady mezd v době nemoci
</v>
      </c>
    </row>
    <row r="80" spans="1:3" x14ac:dyDescent="0.25">
      <c r="A80">
        <v>5499</v>
      </c>
      <c r="B80" t="s">
        <v>208</v>
      </c>
      <c r="C80" t="str">
        <f t="shared" si="1"/>
        <v xml:space="preserve">5499 - Ostatní neinvestiční transfery obyvatelstvu
</v>
      </c>
    </row>
    <row r="81" spans="1:3" x14ac:dyDescent="0.25">
      <c r="A81">
        <v>5811</v>
      </c>
      <c r="B81" t="s">
        <v>184</v>
      </c>
      <c r="C81" t="str">
        <f t="shared" si="1"/>
        <v xml:space="preserve">5811 - Výdaje na náhrady za nezpůsobenou újmu
</v>
      </c>
    </row>
    <row r="82" spans="1:3" x14ac:dyDescent="0.25">
      <c r="A82">
        <v>5903</v>
      </c>
      <c r="B82" t="s">
        <v>191</v>
      </c>
      <c r="C82" t="str">
        <f t="shared" si="1"/>
        <v xml:space="preserve">5903 - Rezerva na krizová opatření
</v>
      </c>
    </row>
    <row r="83" spans="1:3" x14ac:dyDescent="0.25">
      <c r="A83">
        <v>6119</v>
      </c>
      <c r="B83" t="s">
        <v>185</v>
      </c>
      <c r="C83" t="str">
        <f t="shared" si="1"/>
        <v xml:space="preserve">6119 - Ostatní nákupy dlouhodobého nehmotného majetku
</v>
      </c>
    </row>
    <row r="84" spans="1:3" x14ac:dyDescent="0.25">
      <c r="A84">
        <v>6121</v>
      </c>
      <c r="B84" t="s">
        <v>160</v>
      </c>
      <c r="C84" t="str">
        <f t="shared" si="1"/>
        <v xml:space="preserve">6121 - Budovy, haly a stavby
</v>
      </c>
    </row>
    <row r="85" spans="1:3" x14ac:dyDescent="0.25">
      <c r="A85">
        <v>6123</v>
      </c>
      <c r="B85" t="s">
        <v>193</v>
      </c>
      <c r="C85" t="str">
        <f t="shared" si="1"/>
        <v xml:space="preserve">6123 - Dopravní prostředky
</v>
      </c>
    </row>
    <row r="86" spans="1:3" x14ac:dyDescent="0.25">
      <c r="A86">
        <v>1340</v>
      </c>
      <c r="B86" t="s">
        <v>214</v>
      </c>
      <c r="C86" t="str">
        <f t="shared" si="1"/>
        <v>1340 - Poplatek za provoz systému KO</v>
      </c>
    </row>
    <row r="87" spans="1:3" x14ac:dyDescent="0.25">
      <c r="A87">
        <v>3113</v>
      </c>
      <c r="B87" t="s">
        <v>215</v>
      </c>
      <c r="C87" t="str">
        <f t="shared" si="1"/>
        <v>3113 - Příjmy z prodeje ost. DHM</v>
      </c>
    </row>
    <row r="88" spans="1:3" x14ac:dyDescent="0.25">
      <c r="A88">
        <v>5323</v>
      </c>
      <c r="B88" t="s">
        <v>216</v>
      </c>
      <c r="C88" t="str">
        <f t="shared" si="1"/>
        <v>5323 - Neinvestiční transféry krajům</v>
      </c>
    </row>
    <row r="89" spans="1:3" x14ac:dyDescent="0.25">
      <c r="A89">
        <v>5339</v>
      </c>
      <c r="B89" t="s">
        <v>217</v>
      </c>
      <c r="C89" t="str">
        <f t="shared" si="1"/>
        <v>5339 - Neinvestiční transféry cizím PO</v>
      </c>
    </row>
    <row r="90" spans="1:3" x14ac:dyDescent="0.25">
      <c r="A90">
        <v>5164</v>
      </c>
      <c r="B90" t="s">
        <v>218</v>
      </c>
      <c r="C90" t="str">
        <f t="shared" si="1"/>
        <v>5164 - Nájemné</v>
      </c>
    </row>
    <row r="91" spans="1:3" x14ac:dyDescent="0.25">
      <c r="A91">
        <v>6122</v>
      </c>
      <c r="B91" t="s">
        <v>418</v>
      </c>
      <c r="C91" t="str">
        <f t="shared" si="1"/>
        <v>6122 - Stroje, přístroje a zařízení</v>
      </c>
    </row>
    <row r="92" spans="1:3" x14ac:dyDescent="0.25">
      <c r="A92">
        <v>6322</v>
      </c>
      <c r="B92" t="s">
        <v>430</v>
      </c>
      <c r="C92" t="str">
        <f t="shared" si="1"/>
        <v>6322 - Investiční transfery spolkům</v>
      </c>
    </row>
    <row r="93" spans="1:3" ht="30" x14ac:dyDescent="0.25">
      <c r="A93">
        <v>8124</v>
      </c>
      <c r="B93" s="71" t="s">
        <v>484</v>
      </c>
      <c r="C93" t="str">
        <f t="shared" si="1"/>
        <v>8124 - Splátka úvěru</v>
      </c>
    </row>
    <row r="94" spans="1:3" x14ac:dyDescent="0.25">
      <c r="A94">
        <v>8115</v>
      </c>
      <c r="B94" t="s">
        <v>485</v>
      </c>
      <c r="C94" t="str">
        <f t="shared" si="1"/>
        <v>8115 - Změna stavu bankovních účtů</v>
      </c>
    </row>
    <row r="95" spans="1:3" x14ac:dyDescent="0.25">
      <c r="A95">
        <v>1345</v>
      </c>
      <c r="B95" t="s">
        <v>486</v>
      </c>
      <c r="C95" t="str">
        <f>A95&amp;" - "&amp;B95</f>
        <v xml:space="preserve">1345 - Př. Z poplatku za obecní odpadní systém 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03FB-6DDF-4D2A-A06B-1F6D7192A2C8}">
  <sheetPr>
    <tabColor theme="5" tint="0.39997558519241921"/>
  </sheetPr>
  <dimension ref="C2:L4"/>
  <sheetViews>
    <sheetView workbookViewId="0">
      <selection activeCell="E32" sqref="E32"/>
    </sheetView>
  </sheetViews>
  <sheetFormatPr defaultRowHeight="15" x14ac:dyDescent="0.25"/>
  <sheetData>
    <row r="2" spans="3:12" ht="15.75" thickBot="1" x14ac:dyDescent="0.3"/>
    <row r="3" spans="3:12" ht="77.25" thickBot="1" x14ac:dyDescent="0.3">
      <c r="C3" s="78" t="s">
        <v>518</v>
      </c>
      <c r="D3" s="79" t="s">
        <v>519</v>
      </c>
      <c r="E3" s="79" t="s">
        <v>520</v>
      </c>
      <c r="F3" s="79" t="s">
        <v>521</v>
      </c>
      <c r="G3" s="80" t="s">
        <v>522</v>
      </c>
      <c r="H3" s="80" t="s">
        <v>523</v>
      </c>
      <c r="I3" s="81" t="s">
        <v>524</v>
      </c>
      <c r="J3" s="81" t="s">
        <v>525</v>
      </c>
      <c r="K3" s="81" t="s">
        <v>526</v>
      </c>
      <c r="L3" s="81" t="s">
        <v>527</v>
      </c>
    </row>
    <row r="4" spans="3:12" x14ac:dyDescent="0.25">
      <c r="C4" s="82">
        <v>6521</v>
      </c>
      <c r="D4" s="83">
        <v>1748</v>
      </c>
      <c r="E4" s="84">
        <v>36</v>
      </c>
      <c r="F4" s="84">
        <v>389</v>
      </c>
      <c r="G4" s="82">
        <v>2871</v>
      </c>
      <c r="H4" s="85">
        <v>143</v>
      </c>
      <c r="I4" s="86">
        <v>11709</v>
      </c>
      <c r="J4" s="87">
        <v>10014</v>
      </c>
      <c r="K4" s="88">
        <v>1695</v>
      </c>
      <c r="L4" s="89">
        <v>0.16900000000000001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D3F8-3A70-46D3-B9F3-C80C2268017F}">
  <dimension ref="B1:E11"/>
  <sheetViews>
    <sheetView workbookViewId="0">
      <selection activeCell="E8" sqref="E8"/>
    </sheetView>
  </sheetViews>
  <sheetFormatPr defaultRowHeight="15" x14ac:dyDescent="0.25"/>
  <cols>
    <col min="2" max="2" width="23.140625" bestFit="1" customWidth="1"/>
    <col min="3" max="3" width="12.5703125" style="34" bestFit="1" customWidth="1"/>
    <col min="5" max="5" width="12.85546875" bestFit="1" customWidth="1"/>
  </cols>
  <sheetData>
    <row r="1" spans="2:5" x14ac:dyDescent="0.25">
      <c r="B1" t="s">
        <v>452</v>
      </c>
      <c r="C1" s="34">
        <v>32451</v>
      </c>
      <c r="D1">
        <v>1</v>
      </c>
      <c r="E1" s="35">
        <f t="shared" ref="E1:E3" si="0">D1*C1</f>
        <v>32451</v>
      </c>
    </row>
    <row r="2" spans="2:5" x14ac:dyDescent="0.25">
      <c r="B2" t="s">
        <v>453</v>
      </c>
      <c r="C2" s="34">
        <f>2*13000</f>
        <v>26000</v>
      </c>
      <c r="D2">
        <v>2</v>
      </c>
      <c r="E2" s="35">
        <f>C2</f>
        <v>26000</v>
      </c>
    </row>
    <row r="3" spans="2:5" x14ac:dyDescent="0.25">
      <c r="B3" t="s">
        <v>454</v>
      </c>
      <c r="C3" s="34">
        <v>2000</v>
      </c>
      <c r="D3">
        <v>3</v>
      </c>
      <c r="E3" s="35">
        <f t="shared" si="0"/>
        <v>6000</v>
      </c>
    </row>
    <row r="4" spans="2:5" x14ac:dyDescent="0.25">
      <c r="B4" t="s">
        <v>455</v>
      </c>
      <c r="C4" s="34">
        <v>1500</v>
      </c>
      <c r="D4">
        <f>2+2+1</f>
        <v>5</v>
      </c>
      <c r="E4" s="35">
        <f>D4*C4</f>
        <v>7500</v>
      </c>
    </row>
    <row r="5" spans="2:5" x14ac:dyDescent="0.25">
      <c r="B5" t="s">
        <v>456</v>
      </c>
    </row>
    <row r="7" spans="2:5" x14ac:dyDescent="0.25">
      <c r="B7" t="s">
        <v>457</v>
      </c>
      <c r="C7" s="34">
        <f>2*1000*12</f>
        <v>24000</v>
      </c>
    </row>
    <row r="11" spans="2:5" x14ac:dyDescent="0.25">
      <c r="B11" t="s">
        <v>458</v>
      </c>
      <c r="C11" s="34">
        <v>30000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2023 - výhled</vt:lpstr>
      <vt:lpstr>rozpočet 2023</vt:lpstr>
      <vt:lpstr>rozpočet 2023-rozbalený</vt:lpstr>
      <vt:lpstr>data</vt:lpstr>
      <vt:lpstr>paragrafy</vt:lpstr>
      <vt:lpstr>položky</vt:lpstr>
      <vt:lpstr>DV-spořka</vt:lpstr>
      <vt:lpstr>mzdy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Obec</cp:lastModifiedBy>
  <cp:lastPrinted>2022-11-23T16:39:11Z</cp:lastPrinted>
  <dcterms:created xsi:type="dcterms:W3CDTF">2021-11-03T05:00:21Z</dcterms:created>
  <dcterms:modified xsi:type="dcterms:W3CDTF">2022-11-23T16:54:26Z</dcterms:modified>
</cp:coreProperties>
</file>